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9195" yWindow="-15" windowWidth="16350" windowHeight="12105"/>
  </bookViews>
  <sheets>
    <sheet name="Tabelle1" sheetId="1" r:id="rId1"/>
  </sheets>
  <calcPr calcId="125725" iterate="1"/>
</workbook>
</file>

<file path=xl/calcChain.xml><?xml version="1.0" encoding="utf-8"?>
<calcChain xmlns="http://schemas.openxmlformats.org/spreadsheetml/2006/main">
  <c r="M34" i="1"/>
  <c r="M33"/>
  <c r="M32"/>
  <c r="M31"/>
  <c r="M29"/>
  <c r="M28"/>
  <c r="M27"/>
  <c r="M26"/>
  <c r="M36"/>
  <c r="M40" l="1"/>
  <c r="M41" s="1"/>
  <c r="H37"/>
  <c r="H36"/>
  <c r="H35"/>
  <c r="H34"/>
  <c r="H33"/>
  <c r="H40" s="1"/>
  <c r="H31"/>
  <c r="H30"/>
  <c r="H42" s="1"/>
  <c r="H29"/>
  <c r="E8"/>
  <c r="E37"/>
  <c r="E36"/>
  <c r="E35"/>
  <c r="E34"/>
  <c r="E33"/>
  <c r="E40" s="1"/>
  <c r="E31"/>
  <c r="E30"/>
  <c r="E42" s="1"/>
  <c r="E29"/>
  <c r="B35"/>
  <c r="B34"/>
  <c r="B33"/>
  <c r="B32"/>
  <c r="B31"/>
  <c r="B27" s="1"/>
  <c r="B29"/>
  <c r="B28"/>
  <c r="B40" s="1"/>
  <c r="B19"/>
  <c r="B17"/>
  <c r="B16"/>
  <c r="B15"/>
  <c r="B14"/>
  <c r="B20" l="1"/>
  <c r="B18"/>
  <c r="H12"/>
  <c r="N12" s="1"/>
  <c r="H8"/>
  <c r="H15" s="1"/>
  <c r="N8" s="1"/>
  <c r="H5"/>
  <c r="H17" s="1"/>
  <c r="H6"/>
  <c r="N6" s="1"/>
  <c r="H10"/>
  <c r="N10" s="1"/>
  <c r="H9"/>
  <c r="N9" s="1"/>
  <c r="H11"/>
  <c r="N11" s="1"/>
  <c r="B39"/>
  <c r="B37"/>
  <c r="B38"/>
  <c r="N5" l="1"/>
  <c r="N17" s="1"/>
  <c r="N19"/>
  <c r="N15"/>
  <c r="H19"/>
  <c r="E41"/>
  <c r="E39"/>
  <c r="E43" s="1"/>
  <c r="B41"/>
  <c r="H4"/>
  <c r="H14" s="1"/>
  <c r="H18" s="1"/>
  <c r="H39"/>
  <c r="H43" s="1"/>
  <c r="H41"/>
  <c r="H16" l="1"/>
  <c r="H20" s="1"/>
  <c r="N4"/>
  <c r="N14" l="1"/>
  <c r="N18" s="1"/>
  <c r="N16"/>
  <c r="N20" s="1"/>
  <c r="M42" s="1"/>
</calcChain>
</file>

<file path=xl/sharedStrings.xml><?xml version="1.0" encoding="utf-8"?>
<sst xmlns="http://schemas.openxmlformats.org/spreadsheetml/2006/main" count="292" uniqueCount="115">
  <si>
    <t>Aufbereitung</t>
  </si>
  <si>
    <t>Wasserwerte aufbereitet [mg/l]</t>
  </si>
  <si>
    <t>Empfohlene Werte</t>
  </si>
  <si>
    <t>RA °dH</t>
  </si>
  <si>
    <t>Ca</t>
  </si>
  <si>
    <t>Mg</t>
  </si>
  <si>
    <t>SO4</t>
  </si>
  <si>
    <t>CL</t>
  </si>
  <si>
    <t>Kationen:</t>
  </si>
  <si>
    <t>Mittel</t>
  </si>
  <si>
    <t>Menge [g]</t>
  </si>
  <si>
    <t>Helles Lager</t>
  </si>
  <si>
    <t>-3 - 0</t>
  </si>
  <si>
    <t>30 – 50</t>
  </si>
  <si>
    <t>0 – 20</t>
  </si>
  <si>
    <t>0 – 50</t>
  </si>
  <si>
    <t>50 – 100</t>
  </si>
  <si>
    <t>Calcium</t>
  </si>
  <si>
    <t>CaSo4 (2 H2O)</t>
  </si>
  <si>
    <t>0</t>
  </si>
  <si>
    <t>Böhm. Pils</t>
  </si>
  <si>
    <t>-2 - 0</t>
  </si>
  <si>
    <t>0 – 30</t>
  </si>
  <si>
    <t>Magnesium</t>
  </si>
  <si>
    <t>CaCl (2 H2O)</t>
  </si>
  <si>
    <t>Dt. Pils, Premiun Lager</t>
  </si>
  <si>
    <t>-5 - 0</t>
  </si>
  <si>
    <t>50 – 75</t>
  </si>
  <si>
    <t>50 – 150</t>
  </si>
  <si>
    <t>Natrium</t>
  </si>
  <si>
    <t>NaCl</t>
  </si>
  <si>
    <t>Dortm. Export</t>
  </si>
  <si>
    <t>0 – 2</t>
  </si>
  <si>
    <t>75 – 100</t>
  </si>
  <si>
    <t>100 – 200</t>
  </si>
  <si>
    <t>Anionen:</t>
  </si>
  <si>
    <t>NaHCO3</t>
  </si>
  <si>
    <t>Märzen, Festbier</t>
  </si>
  <si>
    <t>0 – 5</t>
  </si>
  <si>
    <t>0 – 25</t>
  </si>
  <si>
    <t>0 – 100</t>
  </si>
  <si>
    <t>Hydrogencarbonat</t>
  </si>
  <si>
    <t>MgCl (6 H2O)</t>
  </si>
  <si>
    <t>Dunkel, Schwarzbier</t>
  </si>
  <si>
    <t>3 – 6</t>
  </si>
  <si>
    <t>Chlorid</t>
  </si>
  <si>
    <t>MgSO4 (7 H2O)</t>
  </si>
  <si>
    <t>Maibock, Heller Bock, Doppelbock</t>
  </si>
  <si>
    <t>5 – 10</t>
  </si>
  <si>
    <t>Sulfat</t>
  </si>
  <si>
    <t>Dunkler Bock</t>
  </si>
  <si>
    <t>10</t>
  </si>
  <si>
    <t>Phosphat</t>
  </si>
  <si>
    <t>Pale Ale, Ordinary Bitter</t>
  </si>
  <si>
    <t>Lactat</t>
  </si>
  <si>
    <t>Menge [ml]</t>
  </si>
  <si>
    <t>Mild Ale, Best Bitter, Scotch Ale</t>
  </si>
  <si>
    <t>Berechnete Werte: [°dH]</t>
  </si>
  <si>
    <t>Milchsäure (80%)</t>
  </si>
  <si>
    <t>Irish Dry Stout, Porter</t>
  </si>
  <si>
    <t>2 – 7</t>
  </si>
  <si>
    <t>15 – 35</t>
  </si>
  <si>
    <t>Gesamthärte</t>
  </si>
  <si>
    <t>Salzsäure (9%)</t>
  </si>
  <si>
    <t>Weizenbier, Weizenbock</t>
  </si>
  <si>
    <t>Carbonathärte</t>
  </si>
  <si>
    <t>Schwefelsäure (10%)</t>
  </si>
  <si>
    <t>Wit, Cream Ale, Kölsch</t>
  </si>
  <si>
    <t>Ca-Härte</t>
  </si>
  <si>
    <t>Phosphorsäure (10%)</t>
  </si>
  <si>
    <t>American Pale Ale, American IPA</t>
  </si>
  <si>
    <t>100 – 400</t>
  </si>
  <si>
    <t>Mg-Härte</t>
  </si>
  <si>
    <t>Altbier, ESB, English IPA</t>
  </si>
  <si>
    <t>100 – 300</t>
  </si>
  <si>
    <t>Nichtcarbonathärte</t>
  </si>
  <si>
    <t>Wassermenge gesamt[l]</t>
  </si>
  <si>
    <t>Extra / Sweet / Oatmeal Stout</t>
  </si>
  <si>
    <t>SO4/Cl-Verhältnis</t>
  </si>
  <si>
    <t xml:space="preserve"> </t>
  </si>
  <si>
    <t>Belgisches Ale, Triple, Blonde</t>
  </si>
  <si>
    <t>Restalkalität</t>
  </si>
  <si>
    <t>Brown / Strong Scotch Ale, Barleywine</t>
  </si>
  <si>
    <t>Russian Imperial Stout</t>
  </si>
  <si>
    <t>8 – 15</t>
  </si>
  <si>
    <t>Näherungswerte Abgekocht [mg/l]</t>
  </si>
  <si>
    <t>Zu hoch</t>
  </si>
  <si>
    <t>passt</t>
  </si>
  <si>
    <t>Zu niedrig</t>
  </si>
  <si>
    <t>Näherungswerte Mischbettentsalzer [mg/l]</t>
  </si>
  <si>
    <t>Leitfähigkeit
 Enthärtet [ µS/cm]</t>
  </si>
  <si>
    <t>Leitfähigkeit
 Ausgangswasser [µS/cm]</t>
  </si>
  <si>
    <t>Rohwasser</t>
  </si>
  <si>
    <t>Wasserwerte Roh [mg/l]</t>
  </si>
  <si>
    <t>Davon Osmosewasser %</t>
  </si>
  <si>
    <t>Davon Abgekocht %</t>
  </si>
  <si>
    <t>Davon VE-Wasser %</t>
  </si>
  <si>
    <t>Wasserwerte Ausgangswasser [mg/l]</t>
  </si>
  <si>
    <t>Näherungswerte Osmosewasser  [mg/l]</t>
  </si>
  <si>
    <t>Abscheidegrad</t>
  </si>
  <si>
    <t>Malze</t>
  </si>
  <si>
    <t>EBC</t>
  </si>
  <si>
    <t>Anteil</t>
  </si>
  <si>
    <t>Normale Malze</t>
  </si>
  <si>
    <t>Pilsner</t>
  </si>
  <si>
    <t>Münchner</t>
  </si>
  <si>
    <t>Caramalze</t>
  </si>
  <si>
    <t>Röstmalze</t>
  </si>
  <si>
    <t>xx</t>
  </si>
  <si>
    <t>Cara hell</t>
  </si>
  <si>
    <t>Cara Aroma</t>
  </si>
  <si>
    <t>pHdw</t>
  </si>
  <si>
    <t xml:space="preserve">Summe </t>
  </si>
  <si>
    <t>pH Maische in VE Wasser</t>
  </si>
  <si>
    <t>pH Maische mit RA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</si>
</sst>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double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00"/>
        <bgColor rgb="FF00CC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</fills>
  <borders count="8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/>
      <diagonal/>
    </border>
  </borders>
  <cellStyleXfs count="2">
    <xf numFmtId="49" fontId="0" fillId="0" borderId="0"/>
    <xf numFmtId="9" fontId="5" fillId="0" borderId="0" applyFont="0" applyFill="0" applyBorder="0" applyAlignment="0" applyProtection="0"/>
  </cellStyleXfs>
  <cellXfs count="41">
    <xf numFmtId="49" fontId="0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164" fontId="1" fillId="0" borderId="3" xfId="1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9" fontId="5" fillId="0" borderId="0" xfId="1" applyFont="1" applyAlignment="1">
      <alignment horizontal="center"/>
    </xf>
    <xf numFmtId="9" fontId="0" fillId="0" borderId="0" xfId="1" applyFont="1" applyAlignment="1">
      <alignment horizontal="center"/>
    </xf>
    <xf numFmtId="2" fontId="0" fillId="0" borderId="0" xfId="0" applyNumberFormat="1" applyFont="1" applyAlignment="1">
      <alignment horizontal="center"/>
    </xf>
    <xf numFmtId="9" fontId="3" fillId="0" borderId="3" xfId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98"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  <dxf>
      <font>
        <color rgb="FFFFFFFF"/>
        <name val="Arial"/>
      </font>
      <fill>
        <patternFill patternType="solid">
          <fgColor rgb="FFFF0000"/>
          <bgColor rgb="FFFF0000"/>
        </patternFill>
      </fill>
    </dxf>
    <dxf>
      <font>
        <color rgb="FFFFFFFF"/>
        <name val="Arial"/>
      </font>
      <fill>
        <patternFill patternType="solid">
          <fgColor rgb="FF0000FF"/>
          <bgColor rgb="FF0000FF"/>
        </patternFill>
      </fill>
      <alignment horizontal="center" vertical="bottom" wrapTex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topLeftCell="J1" workbookViewId="0">
      <selection activeCell="P30" sqref="P30"/>
    </sheetView>
  </sheetViews>
  <sheetFormatPr baseColWidth="10" defaultColWidth="14.42578125" defaultRowHeight="15" customHeight="1"/>
  <cols>
    <col min="1" max="1" width="23.140625" customWidth="1"/>
    <col min="2" max="2" width="12" customWidth="1"/>
    <col min="3" max="3" width="9.7109375" customWidth="1"/>
    <col min="4" max="4" width="25.5703125" customWidth="1"/>
    <col min="5" max="5" width="18.5703125" customWidth="1"/>
    <col min="6" max="6" width="9.7109375" customWidth="1"/>
    <col min="7" max="7" width="29.42578125" customWidth="1"/>
    <col min="8" max="8" width="14" customWidth="1"/>
    <col min="9" max="9" width="9.5703125" customWidth="1"/>
    <col min="10" max="10" width="33.28515625" customWidth="1"/>
    <col min="11" max="11" width="11.140625" bestFit="1" customWidth="1"/>
    <col min="12" max="12" width="9.140625" customWidth="1"/>
    <col min="13" max="13" width="17" bestFit="1" customWidth="1"/>
    <col min="14" max="14" width="12.85546875" customWidth="1"/>
    <col min="15" max="15" width="9.140625" customWidth="1"/>
    <col min="16" max="16" width="33.7109375" bestFit="1" customWidth="1"/>
    <col min="17" max="26" width="8.7109375" customWidth="1"/>
  </cols>
  <sheetData>
    <row r="1" spans="1:21" ht="12.75" customHeight="1"/>
    <row r="2" spans="1:21" ht="12.75" customHeight="1">
      <c r="A2" s="31" t="s">
        <v>93</v>
      </c>
      <c r="B2" s="32"/>
      <c r="D2" s="34" t="s">
        <v>76</v>
      </c>
      <c r="E2" s="36">
        <v>26</v>
      </c>
      <c r="G2" s="31" t="s">
        <v>97</v>
      </c>
      <c r="H2" s="32"/>
      <c r="J2" s="31" t="s">
        <v>0</v>
      </c>
      <c r="K2" s="32"/>
      <c r="M2" s="31" t="s">
        <v>1</v>
      </c>
      <c r="N2" s="32"/>
      <c r="P2" s="1" t="s">
        <v>2</v>
      </c>
      <c r="Q2" s="1" t="s">
        <v>3</v>
      </c>
      <c r="R2" s="1" t="s">
        <v>4</v>
      </c>
      <c r="S2" s="1" t="s">
        <v>5</v>
      </c>
      <c r="T2" s="1" t="s">
        <v>6</v>
      </c>
      <c r="U2" s="1" t="s">
        <v>7</v>
      </c>
    </row>
    <row r="3" spans="1:21" ht="12.75" customHeight="1">
      <c r="A3" s="1" t="s">
        <v>8</v>
      </c>
      <c r="B3" s="2"/>
      <c r="D3" s="35"/>
      <c r="E3" s="37"/>
      <c r="G3" s="1" t="s">
        <v>8</v>
      </c>
      <c r="H3" s="2"/>
      <c r="J3" s="1" t="s">
        <v>9</v>
      </c>
      <c r="K3" s="1" t="s">
        <v>10</v>
      </c>
      <c r="M3" s="1" t="s">
        <v>8</v>
      </c>
      <c r="N3" s="2"/>
      <c r="P3" s="3" t="s">
        <v>11</v>
      </c>
      <c r="Q3" s="4" t="s">
        <v>12</v>
      </c>
      <c r="R3" s="4" t="s">
        <v>13</v>
      </c>
      <c r="S3" s="4" t="s">
        <v>14</v>
      </c>
      <c r="T3" s="4" t="s">
        <v>15</v>
      </c>
      <c r="U3" s="4" t="s">
        <v>16</v>
      </c>
    </row>
    <row r="4" spans="1:21" ht="12.75" customHeight="1">
      <c r="A4" s="3" t="s">
        <v>17</v>
      </c>
      <c r="B4" s="5">
        <v>28.6</v>
      </c>
      <c r="D4" s="38" t="s">
        <v>94</v>
      </c>
      <c r="E4" s="39">
        <v>0</v>
      </c>
      <c r="G4" s="3" t="s">
        <v>17</v>
      </c>
      <c r="H4" s="6">
        <f>H29*$E$4+B27*$E$6+E29*$E$7+B4*$E$8</f>
        <v>28.6</v>
      </c>
      <c r="J4" s="2" t="s">
        <v>18</v>
      </c>
      <c r="K4" s="19" t="s">
        <v>19</v>
      </c>
      <c r="M4" s="3" t="s">
        <v>17</v>
      </c>
      <c r="N4" s="6">
        <f>H4+(232.78*(K4/E2)+272.6*(K5/E2))</f>
        <v>28.6</v>
      </c>
      <c r="P4" s="3" t="s">
        <v>20</v>
      </c>
      <c r="Q4" s="4" t="s">
        <v>21</v>
      </c>
      <c r="R4" s="4" t="s">
        <v>22</v>
      </c>
      <c r="S4" s="4" t="s">
        <v>14</v>
      </c>
      <c r="T4" s="4" t="s">
        <v>15</v>
      </c>
      <c r="U4" s="4" t="s">
        <v>15</v>
      </c>
    </row>
    <row r="5" spans="1:21" ht="12.75" customHeight="1">
      <c r="A5" s="3" t="s">
        <v>23</v>
      </c>
      <c r="B5" s="6">
        <v>16</v>
      </c>
      <c r="D5" s="35"/>
      <c r="E5" s="40"/>
      <c r="G5" s="3" t="s">
        <v>23</v>
      </c>
      <c r="H5" s="6">
        <f t="shared" ref="H5:H12" si="0">H30*$E$4+B28*$E$6+E30*$E$7+B5*$E$8</f>
        <v>16</v>
      </c>
      <c r="J5" s="2" t="s">
        <v>24</v>
      </c>
      <c r="K5" s="20"/>
      <c r="M5" s="3" t="s">
        <v>23</v>
      </c>
      <c r="N5" s="6">
        <f>H5+K8*(119.53/E2)+K9*(98.59/E2)</f>
        <v>16</v>
      </c>
      <c r="P5" s="3" t="s">
        <v>25</v>
      </c>
      <c r="Q5" s="4" t="s">
        <v>26</v>
      </c>
      <c r="R5" s="4" t="s">
        <v>27</v>
      </c>
      <c r="S5" s="4" t="s">
        <v>14</v>
      </c>
      <c r="T5" s="4" t="s">
        <v>28</v>
      </c>
      <c r="U5" s="4" t="s">
        <v>16</v>
      </c>
    </row>
    <row r="6" spans="1:21" ht="12.75" customHeight="1">
      <c r="A6" s="3" t="s">
        <v>29</v>
      </c>
      <c r="B6" s="6">
        <v>61.9</v>
      </c>
      <c r="D6" s="8" t="s">
        <v>95</v>
      </c>
      <c r="E6" s="18">
        <v>0</v>
      </c>
      <c r="G6" s="3" t="s">
        <v>29</v>
      </c>
      <c r="H6" s="6">
        <f t="shared" si="0"/>
        <v>61.9</v>
      </c>
      <c r="J6" s="2" t="s">
        <v>30</v>
      </c>
      <c r="K6" s="2" t="s">
        <v>19</v>
      </c>
      <c r="M6" s="3" t="s">
        <v>29</v>
      </c>
      <c r="N6" s="6">
        <f>H6+393.39*(K6/E2)+273.66*(K7/E2)</f>
        <v>61.9</v>
      </c>
      <c r="P6" s="3" t="s">
        <v>31</v>
      </c>
      <c r="Q6" s="4" t="s">
        <v>32</v>
      </c>
      <c r="R6" s="4" t="s">
        <v>33</v>
      </c>
      <c r="S6" s="4" t="s">
        <v>14</v>
      </c>
      <c r="T6" s="4" t="s">
        <v>34</v>
      </c>
      <c r="U6" s="4" t="s">
        <v>16</v>
      </c>
    </row>
    <row r="7" spans="1:21" ht="12.75" customHeight="1">
      <c r="A7" s="1" t="s">
        <v>35</v>
      </c>
      <c r="B7" s="6"/>
      <c r="D7" s="8" t="s">
        <v>96</v>
      </c>
      <c r="E7" s="18">
        <v>0</v>
      </c>
      <c r="G7" s="1" t="s">
        <v>35</v>
      </c>
      <c r="H7" s="6"/>
      <c r="J7" s="2" t="s">
        <v>36</v>
      </c>
      <c r="K7" s="20" t="s">
        <v>19</v>
      </c>
      <c r="M7" s="1" t="s">
        <v>35</v>
      </c>
      <c r="N7" s="6"/>
      <c r="P7" s="3" t="s">
        <v>37</v>
      </c>
      <c r="Q7" s="4" t="s">
        <v>38</v>
      </c>
      <c r="R7" s="4" t="s">
        <v>27</v>
      </c>
      <c r="S7" s="4" t="s">
        <v>39</v>
      </c>
      <c r="T7" s="4" t="s">
        <v>40</v>
      </c>
      <c r="U7" s="4" t="s">
        <v>28</v>
      </c>
    </row>
    <row r="8" spans="1:21" ht="12.75" customHeight="1">
      <c r="A8" s="3" t="s">
        <v>41</v>
      </c>
      <c r="B8" s="6">
        <v>168</v>
      </c>
      <c r="D8" s="8" t="s">
        <v>92</v>
      </c>
      <c r="E8" s="18">
        <f>1-(SUM(E4:E7))</f>
        <v>1</v>
      </c>
      <c r="G8" s="3" t="s">
        <v>41</v>
      </c>
      <c r="H8" s="6">
        <f t="shared" si="0"/>
        <v>168</v>
      </c>
      <c r="J8" s="2" t="s">
        <v>42</v>
      </c>
      <c r="K8" s="2" t="s">
        <v>19</v>
      </c>
      <c r="M8" s="3" t="s">
        <v>41</v>
      </c>
      <c r="N8" s="6">
        <f>(((H15-K13/(3.32*E2/100)-K14/((12.4/0.9)*E2/100)-K15/(16.4*E2/100)-K16/(33.2*E2/100))/2.8)*61.017+726.34*(K7/E2))</f>
        <v>168</v>
      </c>
      <c r="P8" s="3" t="s">
        <v>43</v>
      </c>
      <c r="Q8" s="4" t="s">
        <v>44</v>
      </c>
      <c r="R8" s="4" t="s">
        <v>27</v>
      </c>
      <c r="S8" s="4" t="s">
        <v>39</v>
      </c>
      <c r="T8" s="4" t="s">
        <v>15</v>
      </c>
      <c r="U8" s="4" t="s">
        <v>28</v>
      </c>
    </row>
    <row r="9" spans="1:21" ht="12.75" customHeight="1">
      <c r="A9" s="3" t="s">
        <v>45</v>
      </c>
      <c r="B9" s="6">
        <v>1</v>
      </c>
      <c r="G9" s="3" t="s">
        <v>45</v>
      </c>
      <c r="H9" s="6">
        <f t="shared" si="0"/>
        <v>1</v>
      </c>
      <c r="J9" s="2" t="s">
        <v>46</v>
      </c>
      <c r="K9" s="2" t="s">
        <v>19</v>
      </c>
      <c r="M9" s="3" t="s">
        <v>45</v>
      </c>
      <c r="N9" s="6">
        <f>H9+482.28*(K5/E2)+606.66*(K6/E2)+13*(0.9*K14/12.4)*(100/E2)+K8*(174.39/E2)</f>
        <v>1</v>
      </c>
      <c r="P9" s="3" t="s">
        <v>47</v>
      </c>
      <c r="Q9" s="4" t="s">
        <v>48</v>
      </c>
      <c r="R9" s="4" t="s">
        <v>27</v>
      </c>
      <c r="S9" s="4" t="s">
        <v>14</v>
      </c>
      <c r="T9" s="4" t="s">
        <v>40</v>
      </c>
      <c r="U9" s="4" t="s">
        <v>28</v>
      </c>
    </row>
    <row r="10" spans="1:21" ht="12.75" customHeight="1">
      <c r="A10" s="3" t="s">
        <v>49</v>
      </c>
      <c r="B10" s="5">
        <v>9.8000000000000007</v>
      </c>
      <c r="G10" s="3" t="s">
        <v>49</v>
      </c>
      <c r="H10" s="6">
        <f t="shared" si="0"/>
        <v>9.8000000000000007</v>
      </c>
      <c r="M10" s="3" t="s">
        <v>49</v>
      </c>
      <c r="N10" s="6">
        <f>H10+557.93*(K4/E2)+17*(K15/16.4)*(100/E2)+K9*(389.73/E2)</f>
        <v>9.8000000000000007</v>
      </c>
      <c r="P10" s="3" t="s">
        <v>50</v>
      </c>
      <c r="Q10" s="4" t="s">
        <v>51</v>
      </c>
      <c r="R10" s="4" t="s">
        <v>16</v>
      </c>
      <c r="S10" s="4" t="s">
        <v>39</v>
      </c>
      <c r="T10" s="4" t="s">
        <v>40</v>
      </c>
      <c r="U10" s="4" t="s">
        <v>16</v>
      </c>
    </row>
    <row r="11" spans="1:21" ht="12.75" customHeight="1">
      <c r="A11" s="3" t="s">
        <v>52</v>
      </c>
      <c r="B11" s="2">
        <v>0</v>
      </c>
      <c r="G11" s="3" t="s">
        <v>52</v>
      </c>
      <c r="H11" s="6">
        <f t="shared" si="0"/>
        <v>0</v>
      </c>
      <c r="M11" s="3" t="s">
        <v>52</v>
      </c>
      <c r="N11" s="6">
        <f>H11+34*(K16/33.2)*(100/E2)</f>
        <v>0</v>
      </c>
      <c r="P11" s="3" t="s">
        <v>53</v>
      </c>
      <c r="Q11" s="4" t="s">
        <v>26</v>
      </c>
      <c r="R11" s="4" t="s">
        <v>16</v>
      </c>
      <c r="S11" s="4" t="s">
        <v>39</v>
      </c>
      <c r="T11" s="4" t="s">
        <v>34</v>
      </c>
      <c r="U11" s="4" t="s">
        <v>16</v>
      </c>
    </row>
    <row r="12" spans="1:21" ht="12.75" customHeight="1">
      <c r="A12" s="3" t="s">
        <v>54</v>
      </c>
      <c r="B12" s="2">
        <v>0</v>
      </c>
      <c r="G12" s="3" t="s">
        <v>54</v>
      </c>
      <c r="H12" s="6">
        <f t="shared" si="0"/>
        <v>0</v>
      </c>
      <c r="J12" s="1" t="s">
        <v>9</v>
      </c>
      <c r="K12" s="1" t="s">
        <v>55</v>
      </c>
      <c r="M12" s="3" t="s">
        <v>54</v>
      </c>
      <c r="N12" s="6">
        <f>H12+32*(K13/3.32)*(100/E2)</f>
        <v>0</v>
      </c>
      <c r="P12" s="3" t="s">
        <v>56</v>
      </c>
      <c r="Q12" s="4" t="s">
        <v>38</v>
      </c>
      <c r="R12" s="4" t="s">
        <v>28</v>
      </c>
      <c r="S12" s="4" t="s">
        <v>39</v>
      </c>
      <c r="T12" s="4" t="s">
        <v>34</v>
      </c>
      <c r="U12" s="4" t="s">
        <v>16</v>
      </c>
    </row>
    <row r="13" spans="1:21" ht="12.75" customHeight="1">
      <c r="A13" s="31" t="s">
        <v>57</v>
      </c>
      <c r="B13" s="32"/>
      <c r="G13" s="31" t="s">
        <v>57</v>
      </c>
      <c r="H13" s="32"/>
      <c r="J13" s="2" t="s">
        <v>58</v>
      </c>
      <c r="K13" s="20" t="s">
        <v>19</v>
      </c>
      <c r="M13" s="31" t="s">
        <v>57</v>
      </c>
      <c r="N13" s="32"/>
      <c r="P13" s="3" t="s">
        <v>59</v>
      </c>
      <c r="Q13" s="4" t="s">
        <v>60</v>
      </c>
      <c r="R13" s="4" t="s">
        <v>27</v>
      </c>
      <c r="S13" s="4" t="s">
        <v>61</v>
      </c>
      <c r="T13" s="4" t="s">
        <v>28</v>
      </c>
      <c r="U13" s="4" t="s">
        <v>16</v>
      </c>
    </row>
    <row r="14" spans="1:21" ht="12.75" customHeight="1">
      <c r="A14" s="3" t="s">
        <v>62</v>
      </c>
      <c r="B14" s="6">
        <f>(B$4*1.4+B$5*2.307)/10</f>
        <v>7.6951999999999998</v>
      </c>
      <c r="G14" s="3" t="s">
        <v>62</v>
      </c>
      <c r="H14" s="6">
        <f>(H$4*1.4+H$5*2.307)/10</f>
        <v>7.6951999999999998</v>
      </c>
      <c r="J14" s="2" t="s">
        <v>63</v>
      </c>
      <c r="K14" s="2" t="s">
        <v>19</v>
      </c>
      <c r="M14" s="3" t="s">
        <v>62</v>
      </c>
      <c r="N14" s="6">
        <f>(N$4*1.4+N$5*2.307)/10</f>
        <v>7.6951999999999998</v>
      </c>
      <c r="P14" s="3" t="s">
        <v>64</v>
      </c>
      <c r="Q14" s="4" t="s">
        <v>48</v>
      </c>
      <c r="R14" s="4" t="s">
        <v>16</v>
      </c>
      <c r="S14" s="4" t="s">
        <v>14</v>
      </c>
      <c r="T14" s="4" t="s">
        <v>15</v>
      </c>
      <c r="U14" s="4" t="s">
        <v>16</v>
      </c>
    </row>
    <row r="15" spans="1:21" ht="12.75" customHeight="1">
      <c r="A15" s="3" t="s">
        <v>65</v>
      </c>
      <c r="B15" s="6">
        <f>(B$8/61.017)*2.8</f>
        <v>7.7093269088942424</v>
      </c>
      <c r="G15" s="3" t="s">
        <v>65</v>
      </c>
      <c r="H15" s="6">
        <f>(H$8/61.017)*2.8</f>
        <v>7.7093269088942424</v>
      </c>
      <c r="J15" s="2" t="s">
        <v>66</v>
      </c>
      <c r="K15" s="2" t="s">
        <v>19</v>
      </c>
      <c r="M15" s="3" t="s">
        <v>65</v>
      </c>
      <c r="N15" s="6">
        <f>(N$8/61.017)*2.8</f>
        <v>7.7093269088942424</v>
      </c>
      <c r="P15" s="3" t="s">
        <v>67</v>
      </c>
      <c r="Q15" s="4" t="s">
        <v>12</v>
      </c>
      <c r="R15" s="4" t="s">
        <v>16</v>
      </c>
      <c r="S15" s="4" t="s">
        <v>39</v>
      </c>
      <c r="T15" s="4" t="s">
        <v>15</v>
      </c>
      <c r="U15" s="4" t="s">
        <v>40</v>
      </c>
    </row>
    <row r="16" spans="1:21" ht="12.75" customHeight="1">
      <c r="A16" s="3" t="s">
        <v>68</v>
      </c>
      <c r="B16" s="6">
        <f>B$4/7.14</f>
        <v>4.0056022408963585</v>
      </c>
      <c r="G16" s="3" t="s">
        <v>68</v>
      </c>
      <c r="H16" s="6">
        <f>H$4/7.14</f>
        <v>4.0056022408963585</v>
      </c>
      <c r="J16" s="2" t="s">
        <v>69</v>
      </c>
      <c r="K16" s="20" t="s">
        <v>19</v>
      </c>
      <c r="M16" s="3" t="s">
        <v>68</v>
      </c>
      <c r="N16" s="6">
        <f>N$4/7.14</f>
        <v>4.0056022408963585</v>
      </c>
      <c r="P16" s="3" t="s">
        <v>70</v>
      </c>
      <c r="Q16" s="4" t="s">
        <v>12</v>
      </c>
      <c r="R16" s="4" t="s">
        <v>28</v>
      </c>
      <c r="S16" s="4" t="s">
        <v>14</v>
      </c>
      <c r="T16" s="4" t="s">
        <v>71</v>
      </c>
      <c r="U16" s="4" t="s">
        <v>40</v>
      </c>
    </row>
    <row r="17" spans="1:25" ht="12.75" customHeight="1">
      <c r="A17" s="3" t="s">
        <v>72</v>
      </c>
      <c r="B17" s="6">
        <f>B$5/4.34</f>
        <v>3.6866359447004609</v>
      </c>
      <c r="G17" s="3" t="s">
        <v>72</v>
      </c>
      <c r="H17" s="6">
        <f>H$5/4.34</f>
        <v>3.6866359447004609</v>
      </c>
      <c r="M17" s="3" t="s">
        <v>72</v>
      </c>
      <c r="N17" s="6">
        <f>N$5/4.34</f>
        <v>3.6866359447004609</v>
      </c>
      <c r="P17" s="3" t="s">
        <v>73</v>
      </c>
      <c r="Q17" s="4" t="s">
        <v>38</v>
      </c>
      <c r="R17" s="4" t="s">
        <v>28</v>
      </c>
      <c r="S17" s="4" t="s">
        <v>39</v>
      </c>
      <c r="T17" s="4" t="s">
        <v>74</v>
      </c>
      <c r="U17" s="4" t="s">
        <v>16</v>
      </c>
    </row>
    <row r="18" spans="1:25" ht="12.75" customHeight="1">
      <c r="A18" s="3" t="s">
        <v>75</v>
      </c>
      <c r="B18" s="6">
        <f>B$14-B$15</f>
        <v>-1.4126908894242618E-2</v>
      </c>
      <c r="G18" s="3" t="s">
        <v>75</v>
      </c>
      <c r="H18" s="6">
        <f>H$14-H$15</f>
        <v>-1.4126908894242618E-2</v>
      </c>
      <c r="M18" s="3" t="s">
        <v>75</v>
      </c>
      <c r="N18" s="6">
        <f>N$14-N$15</f>
        <v>-1.4126908894242618E-2</v>
      </c>
      <c r="P18" s="3" t="s">
        <v>77</v>
      </c>
      <c r="Q18" s="4" t="s">
        <v>48</v>
      </c>
      <c r="R18" s="4" t="s">
        <v>27</v>
      </c>
      <c r="S18" s="4" t="s">
        <v>61</v>
      </c>
      <c r="T18" s="4" t="s">
        <v>28</v>
      </c>
      <c r="U18" s="4" t="s">
        <v>28</v>
      </c>
    </row>
    <row r="19" spans="1:25" ht="12.75" customHeight="1">
      <c r="A19" s="1" t="s">
        <v>78</v>
      </c>
      <c r="B19" s="6">
        <f>B$10/B$9</f>
        <v>9.8000000000000007</v>
      </c>
      <c r="F19" t="s">
        <v>79</v>
      </c>
      <c r="G19" s="1" t="s">
        <v>78</v>
      </c>
      <c r="H19" s="6">
        <f>H$10/H$9</f>
        <v>9.8000000000000007</v>
      </c>
      <c r="M19" s="1" t="s">
        <v>78</v>
      </c>
      <c r="N19" s="6">
        <f>N$10/N$9</f>
        <v>9.8000000000000007</v>
      </c>
      <c r="P19" s="3" t="s">
        <v>80</v>
      </c>
      <c r="Q19" s="4" t="s">
        <v>19</v>
      </c>
      <c r="R19" s="4" t="s">
        <v>16</v>
      </c>
      <c r="S19" s="4" t="s">
        <v>14</v>
      </c>
      <c r="T19" s="4" t="s">
        <v>16</v>
      </c>
      <c r="U19" s="4" t="s">
        <v>16</v>
      </c>
    </row>
    <row r="20" spans="1:25" ht="12.75" customHeight="1">
      <c r="A20" s="1" t="s">
        <v>81</v>
      </c>
      <c r="B20" s="7">
        <f>B$15-B$16/3.5-B$17/7</f>
        <v>6.0382068479666451</v>
      </c>
      <c r="G20" s="1" t="s">
        <v>81</v>
      </c>
      <c r="H20" s="7">
        <f>H$15-H$16/3.5-H$17/7</f>
        <v>6.0382068479666451</v>
      </c>
      <c r="M20" s="1" t="s">
        <v>81</v>
      </c>
      <c r="N20" s="7">
        <f>N$15-N$16/3.5-N$17/7</f>
        <v>6.0382068479666451</v>
      </c>
      <c r="P20" s="3" t="s">
        <v>82</v>
      </c>
      <c r="Q20" s="4" t="s">
        <v>38</v>
      </c>
      <c r="R20" s="4" t="s">
        <v>16</v>
      </c>
      <c r="S20" s="4" t="s">
        <v>14</v>
      </c>
      <c r="T20" s="4" t="s">
        <v>16</v>
      </c>
      <c r="U20" s="4" t="s">
        <v>28</v>
      </c>
    </row>
    <row r="21" spans="1:25" ht="12.75" customHeight="1">
      <c r="P21" s="3" t="s">
        <v>83</v>
      </c>
      <c r="Q21" s="4" t="s">
        <v>84</v>
      </c>
      <c r="R21" s="4" t="s">
        <v>27</v>
      </c>
      <c r="S21" s="4" t="s">
        <v>39</v>
      </c>
      <c r="T21" s="4" t="s">
        <v>28</v>
      </c>
      <c r="U21" s="4" t="s">
        <v>28</v>
      </c>
    </row>
    <row r="22" spans="1:25" ht="24.75" customHeight="1">
      <c r="P22" s="9"/>
      <c r="Q22" s="10"/>
      <c r="R22" s="10"/>
      <c r="S22" s="10"/>
      <c r="T22" s="10"/>
      <c r="U22" s="10"/>
    </row>
    <row r="23" spans="1:25" ht="12.75" customHeight="1">
      <c r="D23" s="11"/>
      <c r="P23" s="12" t="s">
        <v>86</v>
      </c>
      <c r="Q23" s="10"/>
      <c r="R23" s="10"/>
      <c r="S23" s="10"/>
      <c r="T23" s="10"/>
      <c r="U23" s="10"/>
    </row>
    <row r="24" spans="1:25" ht="12.75" customHeight="1">
      <c r="G24" s="31" t="s">
        <v>98</v>
      </c>
      <c r="H24" s="33"/>
      <c r="J24" s="31" t="s">
        <v>100</v>
      </c>
      <c r="K24" s="32" t="s">
        <v>101</v>
      </c>
      <c r="L24" s="8" t="s">
        <v>102</v>
      </c>
      <c r="M24" t="s">
        <v>111</v>
      </c>
      <c r="P24" s="13" t="s">
        <v>87</v>
      </c>
      <c r="Q24" s="10"/>
      <c r="R24" s="10"/>
      <c r="S24" s="10"/>
      <c r="T24" s="10"/>
      <c r="U24" s="10"/>
    </row>
    <row r="25" spans="1:25" ht="25.5">
      <c r="A25" s="31" t="s">
        <v>85</v>
      </c>
      <c r="B25" s="32"/>
      <c r="D25" s="31" t="s">
        <v>89</v>
      </c>
      <c r="E25" s="32"/>
      <c r="G25" s="16" t="s">
        <v>91</v>
      </c>
      <c r="H25" s="17">
        <v>0</v>
      </c>
      <c r="J25" s="16" t="s">
        <v>103</v>
      </c>
      <c r="K25" s="17"/>
      <c r="L25" s="22"/>
      <c r="M25" s="23"/>
      <c r="P25" s="14" t="s">
        <v>88</v>
      </c>
      <c r="R25" s="10"/>
      <c r="S25" s="10"/>
      <c r="T25" s="10"/>
      <c r="U25" s="10"/>
    </row>
    <row r="26" spans="1:25" ht="25.5">
      <c r="A26" s="1" t="s">
        <v>8</v>
      </c>
      <c r="B26" s="2"/>
      <c r="D26" s="16" t="s">
        <v>91</v>
      </c>
      <c r="E26" s="17">
        <v>700</v>
      </c>
      <c r="G26" s="16" t="s">
        <v>90</v>
      </c>
      <c r="H26" s="17">
        <v>6</v>
      </c>
      <c r="J26" s="3" t="s">
        <v>104</v>
      </c>
      <c r="K26" s="27">
        <v>4</v>
      </c>
      <c r="L26" s="24">
        <v>0.5</v>
      </c>
      <c r="M26" s="6">
        <f>POWER(10,-(-0.25*LN(K26)+6.15))*L26</f>
        <v>7.8621910810729933E-7</v>
      </c>
      <c r="N26" s="17"/>
    </row>
    <row r="27" spans="1:25" ht="25.5">
      <c r="A27" s="3" t="s">
        <v>17</v>
      </c>
      <c r="B27" s="6">
        <f>B4-(B8-B31)/3</f>
        <v>0</v>
      </c>
      <c r="D27" s="16" t="s">
        <v>90</v>
      </c>
      <c r="E27" s="17">
        <v>6</v>
      </c>
      <c r="G27" s="15" t="s">
        <v>99</v>
      </c>
      <c r="H27" s="21">
        <v>0.94</v>
      </c>
      <c r="J27" s="3" t="s">
        <v>105</v>
      </c>
      <c r="K27" s="27">
        <v>22</v>
      </c>
      <c r="L27" s="24">
        <v>0.4</v>
      </c>
      <c r="M27" s="6">
        <f t="shared" ref="M27:M29" si="1">POWER(10,-(-0.25*LN(K27)+6.15))*L27</f>
        <v>1.678110692686579E-6</v>
      </c>
      <c r="X27" s="10"/>
      <c r="Y27" s="10"/>
    </row>
    <row r="28" spans="1:25" ht="12.75" customHeight="1">
      <c r="A28" s="3" t="s">
        <v>23</v>
      </c>
      <c r="B28" s="6">
        <f>B5</f>
        <v>16</v>
      </c>
      <c r="D28" s="1" t="s">
        <v>8</v>
      </c>
      <c r="E28" s="2"/>
      <c r="G28" s="1" t="s">
        <v>8</v>
      </c>
      <c r="H28" s="2"/>
      <c r="J28" s="3" t="s">
        <v>108</v>
      </c>
      <c r="K28" s="27">
        <v>22</v>
      </c>
      <c r="L28" s="24">
        <v>0</v>
      </c>
      <c r="M28" s="6">
        <f t="shared" si="1"/>
        <v>0</v>
      </c>
      <c r="Q28" s="9"/>
      <c r="S28" s="10"/>
      <c r="T28" s="10"/>
      <c r="U28" s="10"/>
      <c r="V28" s="10"/>
      <c r="X28" s="10"/>
      <c r="Y28" s="10"/>
    </row>
    <row r="29" spans="1:25" ht="12.75" customHeight="1">
      <c r="A29" s="3" t="s">
        <v>29</v>
      </c>
      <c r="B29" s="6">
        <f>B6</f>
        <v>61.9</v>
      </c>
      <c r="D29" s="3" t="s">
        <v>17</v>
      </c>
      <c r="E29" s="6">
        <f>B4*($E$27/$E$26)</f>
        <v>0.24514285714285716</v>
      </c>
      <c r="G29" s="3" t="s">
        <v>17</v>
      </c>
      <c r="H29" s="6">
        <f>IF($H$25&gt;0,B4*($H$26/$H$25),B4*(1-$H$27))</f>
        <v>1.7160000000000015</v>
      </c>
      <c r="J29" s="3" t="s">
        <v>108</v>
      </c>
      <c r="K29" s="27">
        <v>22</v>
      </c>
      <c r="L29" s="24">
        <v>0</v>
      </c>
      <c r="M29" s="6">
        <f t="shared" si="1"/>
        <v>0</v>
      </c>
      <c r="X29" s="10"/>
      <c r="Y29" s="10"/>
    </row>
    <row r="30" spans="1:25" ht="12.75" customHeight="1">
      <c r="A30" s="1" t="s">
        <v>35</v>
      </c>
      <c r="B30" s="6"/>
      <c r="D30" s="3" t="s">
        <v>23</v>
      </c>
      <c r="E30" s="6">
        <f t="shared" ref="E30:E37" si="2">B5*($E$27/$E$26)</f>
        <v>0.13714285714285715</v>
      </c>
      <c r="G30" s="3" t="s">
        <v>23</v>
      </c>
      <c r="H30" s="6">
        <f t="shared" ref="H30:H37" si="3">IF($H$25&gt;0,B5*($H$26/$H$25),B5*(1-$H$27))</f>
        <v>0.96000000000000085</v>
      </c>
      <c r="J30" t="s">
        <v>106</v>
      </c>
      <c r="K30" s="23"/>
      <c r="L30" s="22"/>
      <c r="M30" s="23"/>
      <c r="X30" s="10"/>
      <c r="Y30" s="10"/>
    </row>
    <row r="31" spans="1:25" ht="12.75" customHeight="1">
      <c r="A31" s="3" t="s">
        <v>41</v>
      </c>
      <c r="B31" s="6">
        <f>IF(AND(B8&gt;43.5, (B8-43.5)/3 &lt; B4), 43.5, IF(AND((B8-43.5)/3 &gt; B4, B8 &gt; 43.5), B8-3*B4, B8))</f>
        <v>82.199999999999989</v>
      </c>
      <c r="D31" s="3" t="s">
        <v>29</v>
      </c>
      <c r="E31" s="6">
        <f t="shared" si="2"/>
        <v>0.53057142857142858</v>
      </c>
      <c r="G31" s="3" t="s">
        <v>29</v>
      </c>
      <c r="H31" s="6">
        <f t="shared" si="3"/>
        <v>3.7140000000000031</v>
      </c>
      <c r="J31" s="3" t="s">
        <v>109</v>
      </c>
      <c r="K31" s="28">
        <v>25</v>
      </c>
      <c r="L31" s="24">
        <v>0.09</v>
      </c>
      <c r="M31" s="6">
        <f>POWER(10,-(-0.295*LN(K31)+6.089))*L31</f>
        <v>6.5284619579483728E-7</v>
      </c>
    </row>
    <row r="32" spans="1:25" ht="12.75" customHeight="1">
      <c r="A32" s="3" t="s">
        <v>45</v>
      </c>
      <c r="B32" s="6">
        <f>B9</f>
        <v>1</v>
      </c>
      <c r="D32" s="1" t="s">
        <v>35</v>
      </c>
      <c r="E32" s="6"/>
      <c r="G32" s="1" t="s">
        <v>35</v>
      </c>
      <c r="H32" s="6"/>
      <c r="J32" s="3" t="s">
        <v>110</v>
      </c>
      <c r="K32" s="28">
        <v>25</v>
      </c>
      <c r="L32" s="24">
        <v>0</v>
      </c>
      <c r="M32" s="6">
        <f t="shared" ref="M32:M34" si="4">POWER(10,-(-0.295*LN(K32)+6.089))*L32</f>
        <v>0</v>
      </c>
    </row>
    <row r="33" spans="1:13" ht="12.75" customHeight="1">
      <c r="A33" s="3" t="s">
        <v>49</v>
      </c>
      <c r="B33" s="6">
        <f>B10</f>
        <v>9.8000000000000007</v>
      </c>
      <c r="D33" s="3" t="s">
        <v>41</v>
      </c>
      <c r="E33" s="6">
        <f t="shared" si="2"/>
        <v>1.4400000000000002</v>
      </c>
      <c r="G33" s="3" t="s">
        <v>41</v>
      </c>
      <c r="H33" s="6">
        <f t="shared" si="3"/>
        <v>10.080000000000009</v>
      </c>
      <c r="J33" s="3" t="s">
        <v>108</v>
      </c>
      <c r="K33" s="28">
        <v>25</v>
      </c>
      <c r="L33" s="24">
        <v>0</v>
      </c>
      <c r="M33" s="6">
        <f t="shared" si="4"/>
        <v>0</v>
      </c>
    </row>
    <row r="34" spans="1:13" ht="12.75" customHeight="1">
      <c r="A34" s="3" t="s">
        <v>52</v>
      </c>
      <c r="B34" s="6">
        <f>B11</f>
        <v>0</v>
      </c>
      <c r="D34" s="3" t="s">
        <v>45</v>
      </c>
      <c r="E34" s="6">
        <f t="shared" si="2"/>
        <v>8.5714285714285719E-3</v>
      </c>
      <c r="G34" s="3" t="s">
        <v>45</v>
      </c>
      <c r="H34" s="6">
        <f t="shared" si="3"/>
        <v>6.0000000000000053E-2</v>
      </c>
      <c r="J34" s="3" t="s">
        <v>108</v>
      </c>
      <c r="K34" s="28">
        <v>25</v>
      </c>
      <c r="L34" s="24">
        <v>0</v>
      </c>
      <c r="M34" s="6">
        <f t="shared" si="4"/>
        <v>0</v>
      </c>
    </row>
    <row r="35" spans="1:13" ht="12.75" customHeight="1">
      <c r="A35" s="3" t="s">
        <v>54</v>
      </c>
      <c r="B35" s="6">
        <f>B12</f>
        <v>0</v>
      </c>
      <c r="D35" s="3" t="s">
        <v>49</v>
      </c>
      <c r="E35" s="6">
        <f t="shared" si="2"/>
        <v>8.4000000000000005E-2</v>
      </c>
      <c r="G35" s="3" t="s">
        <v>49</v>
      </c>
      <c r="H35" s="6">
        <f t="shared" si="3"/>
        <v>0.58800000000000052</v>
      </c>
      <c r="J35" s="3" t="s">
        <v>107</v>
      </c>
      <c r="K35" s="28"/>
      <c r="L35" s="3"/>
      <c r="M35" s="3"/>
    </row>
    <row r="36" spans="1:13" ht="12.75" customHeight="1">
      <c r="A36" s="31" t="s">
        <v>57</v>
      </c>
      <c r="B36" s="32"/>
      <c r="D36" s="3" t="s">
        <v>52</v>
      </c>
      <c r="E36" s="6">
        <f t="shared" si="2"/>
        <v>0</v>
      </c>
      <c r="G36" s="3" t="s">
        <v>52</v>
      </c>
      <c r="H36" s="6">
        <f t="shared" si="3"/>
        <v>0</v>
      </c>
      <c r="J36" s="3" t="s">
        <v>108</v>
      </c>
      <c r="K36" s="28">
        <v>350</v>
      </c>
      <c r="L36" s="24">
        <v>0.01</v>
      </c>
      <c r="M36" s="6">
        <f>POWER(10,-4.65)*L36</f>
        <v>2.2387211385683359E-7</v>
      </c>
    </row>
    <row r="37" spans="1:13" ht="12.75" customHeight="1">
      <c r="A37" s="3" t="s">
        <v>62</v>
      </c>
      <c r="B37" s="6">
        <f>(B$27*1.4+B$28*2.307)/10</f>
        <v>3.6911999999999998</v>
      </c>
      <c r="D37" s="3" t="s">
        <v>54</v>
      </c>
      <c r="E37" s="6">
        <f t="shared" si="2"/>
        <v>0</v>
      </c>
      <c r="G37" s="3" t="s">
        <v>54</v>
      </c>
      <c r="H37" s="6">
        <f t="shared" si="3"/>
        <v>0</v>
      </c>
      <c r="M37" s="23"/>
    </row>
    <row r="38" spans="1:13" ht="12.75" customHeight="1">
      <c r="A38" s="3" t="s">
        <v>65</v>
      </c>
      <c r="B38" s="6">
        <f>(B$31/61.017)*2.8</f>
        <v>3.7720635232803965</v>
      </c>
      <c r="D38" s="31" t="s">
        <v>57</v>
      </c>
      <c r="E38" s="32"/>
      <c r="G38" s="31" t="s">
        <v>57</v>
      </c>
      <c r="H38" s="32"/>
      <c r="M38" s="23"/>
    </row>
    <row r="39" spans="1:13" ht="12.75" customHeight="1">
      <c r="A39" s="3" t="s">
        <v>68</v>
      </c>
      <c r="B39" s="6">
        <f>B$27/7.14</f>
        <v>0</v>
      </c>
      <c r="D39" s="3" t="s">
        <v>62</v>
      </c>
      <c r="E39" s="6">
        <f>(E$29*1.4+E$30*2.307)/10</f>
        <v>6.5958857142857139E-2</v>
      </c>
      <c r="G39" s="3" t="s">
        <v>62</v>
      </c>
      <c r="H39" s="6">
        <f>(H$29*1.4+H$30*2.307)/10</f>
        <v>0.46171200000000034</v>
      </c>
      <c r="M39" s="23"/>
    </row>
    <row r="40" spans="1:13" ht="12.75" customHeight="1">
      <c r="A40" s="3" t="s">
        <v>72</v>
      </c>
      <c r="B40" s="6">
        <f>B$28/4.34</f>
        <v>3.6866359447004609</v>
      </c>
      <c r="D40" s="3" t="s">
        <v>65</v>
      </c>
      <c r="E40" s="6">
        <f>(E$33/61.017)*2.8</f>
        <v>6.6079944933379223E-2</v>
      </c>
      <c r="G40" s="3" t="s">
        <v>65</v>
      </c>
      <c r="H40" s="6">
        <f>(H$33/61.017)*2.8</f>
        <v>0.46255961453365491</v>
      </c>
      <c r="J40" t="s">
        <v>112</v>
      </c>
      <c r="M40" s="23">
        <f>SUM(M26:M39)</f>
        <v>3.3410481104455492E-6</v>
      </c>
    </row>
    <row r="41" spans="1:13" ht="12.75" customHeight="1">
      <c r="A41" s="3" t="s">
        <v>75</v>
      </c>
      <c r="B41" s="6">
        <f>B$37-B$38</f>
        <v>-8.0863523280396699E-2</v>
      </c>
      <c r="D41" s="3" t="s">
        <v>68</v>
      </c>
      <c r="E41" s="6">
        <f>E$29/7.14</f>
        <v>3.4333733493397363E-2</v>
      </c>
      <c r="F41" t="s">
        <v>79</v>
      </c>
      <c r="G41" s="3" t="s">
        <v>68</v>
      </c>
      <c r="H41" s="6">
        <f>H$29/7.14</f>
        <v>0.24033613445378174</v>
      </c>
      <c r="J41" s="25" t="s">
        <v>113</v>
      </c>
      <c r="M41" s="26">
        <f>-LOG10(M40)</f>
        <v>5.4761172705604357</v>
      </c>
    </row>
    <row r="42" spans="1:13" ht="12.75" customHeight="1">
      <c r="A42" s="1" t="s">
        <v>78</v>
      </c>
      <c r="B42" s="6">
        <v>1.9528301886792501</v>
      </c>
      <c r="D42" s="3" t="s">
        <v>72</v>
      </c>
      <c r="E42" s="6">
        <f>E$30/4.34</f>
        <v>3.1599736668861095E-2</v>
      </c>
      <c r="G42" s="3" t="s">
        <v>72</v>
      </c>
      <c r="H42" s="6">
        <f>H$30/4.34</f>
        <v>0.22119815668202786</v>
      </c>
      <c r="J42" s="30" t="s">
        <v>114</v>
      </c>
      <c r="M42" s="29">
        <f>M41+(N20/5.6*0.17)</f>
        <v>5.6594199784451371</v>
      </c>
    </row>
    <row r="43" spans="1:13" ht="12.75" customHeight="1">
      <c r="A43" s="1" t="s">
        <v>81</v>
      </c>
      <c r="B43" s="7">
        <v>1.49349731692953</v>
      </c>
      <c r="D43" s="3" t="s">
        <v>75</v>
      </c>
      <c r="E43" s="6">
        <f>E$39-E$40</f>
        <v>-1.2108779052208418E-4</v>
      </c>
      <c r="G43" s="3" t="s">
        <v>75</v>
      </c>
      <c r="H43" s="6">
        <f>H$39-H$40</f>
        <v>-8.4761453365456152E-4</v>
      </c>
    </row>
    <row r="44" spans="1:13" ht="12.75" customHeight="1">
      <c r="D44" s="1" t="s">
        <v>78</v>
      </c>
      <c r="E44" s="6">
        <v>1.9528301886792501</v>
      </c>
      <c r="G44" s="1" t="s">
        <v>78</v>
      </c>
      <c r="H44" s="6">
        <v>1.9528301886792501</v>
      </c>
    </row>
    <row r="45" spans="1:13" ht="12.75" customHeight="1">
      <c r="D45" s="1" t="s">
        <v>81</v>
      </c>
      <c r="E45" s="7">
        <v>1.49349731692953</v>
      </c>
      <c r="G45" s="1" t="s">
        <v>81</v>
      </c>
      <c r="H45" s="7">
        <v>1.49349731692953</v>
      </c>
    </row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8">
    <mergeCell ref="J2:K2"/>
    <mergeCell ref="M2:N2"/>
    <mergeCell ref="M13:N13"/>
    <mergeCell ref="J24:K24"/>
    <mergeCell ref="A36:B36"/>
    <mergeCell ref="D25:E25"/>
    <mergeCell ref="A25:B25"/>
    <mergeCell ref="A13:B13"/>
    <mergeCell ref="A2:B2"/>
    <mergeCell ref="D38:E38"/>
    <mergeCell ref="G2:H2"/>
    <mergeCell ref="G13:H13"/>
    <mergeCell ref="G38:H38"/>
    <mergeCell ref="G24:H24"/>
    <mergeCell ref="D2:D3"/>
    <mergeCell ref="E2:E3"/>
    <mergeCell ref="D4:D5"/>
    <mergeCell ref="E4:E5"/>
  </mergeCells>
  <conditionalFormatting sqref="Q4">
    <cfRule type="expression" dxfId="97" priority="21">
      <formula>IF($N$20&lt;-2,TRUE())</formula>
    </cfRule>
  </conditionalFormatting>
  <conditionalFormatting sqref="Q4">
    <cfRule type="expression" dxfId="96" priority="22">
      <formula>IF($N$20&gt;0,TRUE())</formula>
    </cfRule>
  </conditionalFormatting>
  <conditionalFormatting sqref="Q5">
    <cfRule type="expression" dxfId="95" priority="23">
      <formula>IF($N$20&lt;-5,TRUE())</formula>
    </cfRule>
  </conditionalFormatting>
  <conditionalFormatting sqref="Q5">
    <cfRule type="expression" dxfId="94" priority="24">
      <formula>IF($N$20&gt;0,TRUE())</formula>
    </cfRule>
  </conditionalFormatting>
  <conditionalFormatting sqref="Q8">
    <cfRule type="expression" dxfId="93" priority="25">
      <formula>IF($N$20&lt;3,TRUE())</formula>
    </cfRule>
  </conditionalFormatting>
  <conditionalFormatting sqref="Q8">
    <cfRule type="expression" dxfId="92" priority="26">
      <formula>IF($N$20&gt;6,TRUE())</formula>
    </cfRule>
  </conditionalFormatting>
  <conditionalFormatting sqref="Q9">
    <cfRule type="expression" dxfId="91" priority="27">
      <formula>IF($N$20&lt;5,TRUE())</formula>
    </cfRule>
  </conditionalFormatting>
  <conditionalFormatting sqref="Q9">
    <cfRule type="expression" dxfId="90" priority="28">
      <formula>IF($N$20&gt;10,TRUE())</formula>
    </cfRule>
  </conditionalFormatting>
  <conditionalFormatting sqref="Q6">
    <cfRule type="expression" dxfId="89" priority="29">
      <formula>IF($N$20&lt;0,TRUE())</formula>
    </cfRule>
  </conditionalFormatting>
  <conditionalFormatting sqref="Q6">
    <cfRule type="expression" dxfId="88" priority="30">
      <formula>IF($N$20&gt;2,TRUE())</formula>
    </cfRule>
  </conditionalFormatting>
  <conditionalFormatting sqref="Q10">
    <cfRule type="expression" dxfId="87" priority="31">
      <formula>IF($N$20&lt;9,TRUE())</formula>
    </cfRule>
  </conditionalFormatting>
  <conditionalFormatting sqref="Q10">
    <cfRule type="expression" dxfId="86" priority="32">
      <formula>IF($N$20&gt;11,TRUE())</formula>
    </cfRule>
  </conditionalFormatting>
  <conditionalFormatting sqref="Q11">
    <cfRule type="expression" dxfId="85" priority="33">
      <formula>IF($N$20&lt;-5,TRUE())</formula>
    </cfRule>
  </conditionalFormatting>
  <conditionalFormatting sqref="Q11">
    <cfRule type="expression" dxfId="84" priority="34">
      <formula>IF($N$20&gt;0,TRUE())</formula>
    </cfRule>
  </conditionalFormatting>
  <conditionalFormatting sqref="Q3">
    <cfRule type="expression" dxfId="83" priority="35">
      <formula>IF($N$20&lt;-3,TRUE())</formula>
    </cfRule>
  </conditionalFormatting>
  <conditionalFormatting sqref="Q3">
    <cfRule type="expression" dxfId="82" priority="36">
      <formula>IF($N$20&gt;0,TRUE())</formula>
    </cfRule>
  </conditionalFormatting>
  <conditionalFormatting sqref="Q12">
    <cfRule type="expression" dxfId="81" priority="37">
      <formula>IF($N$20&lt;0,TRUE())</formula>
    </cfRule>
  </conditionalFormatting>
  <conditionalFormatting sqref="Q12">
    <cfRule type="expression" dxfId="80" priority="38">
      <formula>IF($N$20&gt;5,TRUE())</formula>
    </cfRule>
  </conditionalFormatting>
  <conditionalFormatting sqref="Q13">
    <cfRule type="expression" dxfId="79" priority="39">
      <formula>IF($N$20&lt;2,TRUE())</formula>
    </cfRule>
  </conditionalFormatting>
  <conditionalFormatting sqref="Q13">
    <cfRule type="expression" dxfId="78" priority="40">
      <formula>IF($N$20&gt;7,TRUE())</formula>
    </cfRule>
  </conditionalFormatting>
  <conditionalFormatting sqref="Q14">
    <cfRule type="expression" dxfId="77" priority="41">
      <formula>IF($N$20&lt;5,TRUE())</formula>
    </cfRule>
  </conditionalFormatting>
  <conditionalFormatting sqref="Q14">
    <cfRule type="expression" dxfId="76" priority="42">
      <formula>IF($N$20&gt;10,TRUE())</formula>
    </cfRule>
  </conditionalFormatting>
  <conditionalFormatting sqref="Q15">
    <cfRule type="expression" dxfId="75" priority="43">
      <formula>IF($N$20&lt;-3,TRUE())</formula>
    </cfRule>
  </conditionalFormatting>
  <conditionalFormatting sqref="Q15">
    <cfRule type="expression" dxfId="74" priority="44">
      <formula>IF($N$20&gt;0,TRUE())</formula>
    </cfRule>
  </conditionalFormatting>
  <conditionalFormatting sqref="Q16">
    <cfRule type="expression" dxfId="73" priority="45">
      <formula>IF($N$20&lt;-3,TRUE())</formula>
    </cfRule>
  </conditionalFormatting>
  <conditionalFormatting sqref="Q16">
    <cfRule type="expression" dxfId="72" priority="46">
      <formula>IF($N$20&gt;0,TRUE())</formula>
    </cfRule>
  </conditionalFormatting>
  <conditionalFormatting sqref="Q17">
    <cfRule type="expression" dxfId="71" priority="47">
      <formula>IF($N$20&lt;0,TRUE())</formula>
    </cfRule>
  </conditionalFormatting>
  <conditionalFormatting sqref="Q17">
    <cfRule type="expression" dxfId="70" priority="48">
      <formula>IF($N$20&gt;5,TRUE())</formula>
    </cfRule>
  </conditionalFormatting>
  <conditionalFormatting sqref="Q18">
    <cfRule type="expression" dxfId="69" priority="49">
      <formula>IF($N$20&lt;5,TRUE())</formula>
    </cfRule>
  </conditionalFormatting>
  <conditionalFormatting sqref="Q18">
    <cfRule type="expression" dxfId="68" priority="50">
      <formula>IF($N$20&gt;10,TRUE())</formula>
    </cfRule>
  </conditionalFormatting>
  <conditionalFormatting sqref="Q19">
    <cfRule type="expression" dxfId="67" priority="51">
      <formula>IF($N$20&lt;-1,TRUE())</formula>
    </cfRule>
  </conditionalFormatting>
  <conditionalFormatting sqref="Q19">
    <cfRule type="expression" dxfId="66" priority="52">
      <formula>IF($N$20&gt;1,TRUE())</formula>
    </cfRule>
  </conditionalFormatting>
  <conditionalFormatting sqref="Q20">
    <cfRule type="expression" dxfId="65" priority="53">
      <formula>IF($N$20&lt;0,TRUE())</formula>
    </cfRule>
  </conditionalFormatting>
  <conditionalFormatting sqref="Q20">
    <cfRule type="expression" dxfId="64" priority="54">
      <formula>IF($N$20&gt;5,TRUE())</formula>
    </cfRule>
  </conditionalFormatting>
  <conditionalFormatting sqref="R3">
    <cfRule type="expression" dxfId="63" priority="55">
      <formula>IF($N$4&lt;30,TRUE())</formula>
    </cfRule>
  </conditionalFormatting>
  <conditionalFormatting sqref="R3">
    <cfRule type="expression" dxfId="62" priority="56">
      <formula>IF($N$4&gt;50,TRUE())</formula>
    </cfRule>
  </conditionalFormatting>
  <conditionalFormatting sqref="R4">
    <cfRule type="expression" dxfId="61" priority="57">
      <formula>IF($N$4&lt;0,TRUE())</formula>
    </cfRule>
  </conditionalFormatting>
  <conditionalFormatting sqref="R4">
    <cfRule type="expression" dxfId="60" priority="58">
      <formula>IF($N$4&gt;30,TRUE())</formula>
    </cfRule>
  </conditionalFormatting>
  <conditionalFormatting sqref="R5 R7:R9 R11 R13:R15 R17:R21">
    <cfRule type="expression" dxfId="59" priority="59">
      <formula>IF($N$4&lt;50,TRUE())</formula>
    </cfRule>
  </conditionalFormatting>
  <conditionalFormatting sqref="R5 R7:R9 R13 R18 R21">
    <cfRule type="expression" dxfId="58" priority="60">
      <formula>IF($N$4&gt;75,TRUE())</formula>
    </cfRule>
  </conditionalFormatting>
  <conditionalFormatting sqref="R6">
    <cfRule type="expression" dxfId="57" priority="61">
      <formula>IF($N$4&lt;75,TRUE())</formula>
    </cfRule>
  </conditionalFormatting>
  <conditionalFormatting sqref="R6 R11 R14:R15 R19:R20">
    <cfRule type="expression" dxfId="56" priority="62">
      <formula>IF($N$4&gt;100,TRUE())</formula>
    </cfRule>
  </conditionalFormatting>
  <conditionalFormatting sqref="R10">
    <cfRule type="expression" dxfId="55" priority="63">
      <formula>IF($N$4&lt;50,TRUE())</formula>
    </cfRule>
  </conditionalFormatting>
  <conditionalFormatting sqref="R10">
    <cfRule type="expression" dxfId="54" priority="64">
      <formula>IF($N$4&gt;100,TRUE())</formula>
    </cfRule>
  </conditionalFormatting>
  <conditionalFormatting sqref="R16">
    <cfRule type="expression" dxfId="53" priority="65">
      <formula>IF($N$4&lt;50,TRUE())</formula>
    </cfRule>
  </conditionalFormatting>
  <conditionalFormatting sqref="R16:R17">
    <cfRule type="expression" dxfId="52" priority="66">
      <formula>IF($N$4&gt;150,TRUE())</formula>
    </cfRule>
  </conditionalFormatting>
  <conditionalFormatting sqref="S3:S6 S9:S12 S14:S17 S19:S21">
    <cfRule type="expression" dxfId="51" priority="67">
      <formula>IF($N$5&lt;0,TRUE())</formula>
    </cfRule>
  </conditionalFormatting>
  <conditionalFormatting sqref="S3:S6 S9 S14 S16 S19:S20">
    <cfRule type="expression" dxfId="50" priority="68">
      <formula>IF($N$5&gt;20,TRUE())</formula>
    </cfRule>
  </conditionalFormatting>
  <conditionalFormatting sqref="S7:S8">
    <cfRule type="expression" dxfId="49" priority="69">
      <formula>IF($N$5&lt;0,TRUE())</formula>
    </cfRule>
  </conditionalFormatting>
  <conditionalFormatting sqref="S7:S8 S10:S12 S15 S17 S21">
    <cfRule type="expression" dxfId="48" priority="70">
      <formula>IF($N$5&gt;25,TRUE())</formula>
    </cfRule>
  </conditionalFormatting>
  <conditionalFormatting sqref="S13 S18">
    <cfRule type="expression" dxfId="47" priority="71">
      <formula>IF($N$5&lt;15,TRUE())</formula>
    </cfRule>
  </conditionalFormatting>
  <conditionalFormatting sqref="S13 S18">
    <cfRule type="expression" dxfId="46" priority="72">
      <formula>IF($N$5&gt;35,TRUE())</formula>
    </cfRule>
  </conditionalFormatting>
  <conditionalFormatting sqref="T3:T4 T14:T15 T8:T10">
    <cfRule type="expression" dxfId="45" priority="73">
      <formula>IF($N$10&lt;0,TRUE())</formula>
    </cfRule>
  </conditionalFormatting>
  <conditionalFormatting sqref="T3:T4 T8 T14:T15">
    <cfRule type="expression" dxfId="44" priority="74">
      <formula>IF($N$10&gt;50,TRUE())</formula>
    </cfRule>
  </conditionalFormatting>
  <conditionalFormatting sqref="T5 T13 T18 T20:T21">
    <cfRule type="expression" dxfId="43" priority="75">
      <formula>IF($N$10&lt;50,TRUE())</formula>
    </cfRule>
  </conditionalFormatting>
  <conditionalFormatting sqref="T5 T13 T21 T18">
    <cfRule type="expression" dxfId="42" priority="76">
      <formula>IF($N$10&gt;150,TRUE())</formula>
    </cfRule>
  </conditionalFormatting>
  <conditionalFormatting sqref="T6 T11:T12">
    <cfRule type="expression" dxfId="41" priority="77">
      <formula>IF($N$10&lt;100,TRUE())</formula>
    </cfRule>
  </conditionalFormatting>
  <conditionalFormatting sqref="T6 T11:T12">
    <cfRule type="expression" dxfId="40" priority="78">
      <formula>IF($N$10&gt;200,TRUE())</formula>
    </cfRule>
  </conditionalFormatting>
  <conditionalFormatting sqref="T7">
    <cfRule type="expression" dxfId="39" priority="79">
      <formula>IF($N$10&lt;0,TRUE())</formula>
    </cfRule>
  </conditionalFormatting>
  <conditionalFormatting sqref="T7 T9:T10 T20">
    <cfRule type="expression" dxfId="38" priority="80">
      <formula>IF($N$10&gt;100,TRUE())</formula>
    </cfRule>
  </conditionalFormatting>
  <conditionalFormatting sqref="T16">
    <cfRule type="expression" dxfId="37" priority="81">
      <formula>IF($N$10&lt;100,TRUE())</formula>
    </cfRule>
  </conditionalFormatting>
  <conditionalFormatting sqref="T16">
    <cfRule type="expression" dxfId="36" priority="82">
      <formula>IF($N$10&gt;400,TRUE())</formula>
    </cfRule>
  </conditionalFormatting>
  <conditionalFormatting sqref="T17">
    <cfRule type="expression" dxfId="35" priority="83">
      <formula>IF($N$10&lt;100,TRUE())</formula>
    </cfRule>
  </conditionalFormatting>
  <conditionalFormatting sqref="T17">
    <cfRule type="expression" dxfId="34" priority="84">
      <formula>IF($N$10&gt;300,TRUE())</formula>
    </cfRule>
  </conditionalFormatting>
  <conditionalFormatting sqref="T19">
    <cfRule type="expression" dxfId="33" priority="85">
      <formula>IF($N$10&lt;50,TRUE())</formula>
    </cfRule>
  </conditionalFormatting>
  <conditionalFormatting sqref="T19">
    <cfRule type="expression" dxfId="32" priority="86">
      <formula>IF($N$10&gt;100,TRUE())</formula>
    </cfRule>
  </conditionalFormatting>
  <conditionalFormatting sqref="U3 U5:U6 U10:U14 U17:U21">
    <cfRule type="expression" dxfId="31" priority="87">
      <formula>IF($N$9&lt;50,TRUE())</formula>
    </cfRule>
  </conditionalFormatting>
  <conditionalFormatting sqref="U3 U5:U6 U10:U14 U19 U16:U17">
    <cfRule type="expression" dxfId="30" priority="88">
      <formula>IF($N$9&gt;100,TRUE())</formula>
    </cfRule>
  </conditionalFormatting>
  <conditionalFormatting sqref="U4 U16">
    <cfRule type="expression" dxfId="29" priority="89">
      <formula>IF($N$9&lt;0,TRUE())</formula>
    </cfRule>
  </conditionalFormatting>
  <conditionalFormatting sqref="U4">
    <cfRule type="expression" dxfId="28" priority="90">
      <formula>IF($N$9&gt;50,TRUE())</formula>
    </cfRule>
  </conditionalFormatting>
  <conditionalFormatting sqref="U7:U9">
    <cfRule type="expression" dxfId="27" priority="91">
      <formula>IF($N$9&lt;50,TRUE())</formula>
    </cfRule>
  </conditionalFormatting>
  <conditionalFormatting sqref="U7:U9 U18 U20:U21">
    <cfRule type="expression" dxfId="26" priority="92">
      <formula>IF($N$9&gt;150,TRUE())</formula>
    </cfRule>
  </conditionalFormatting>
  <conditionalFormatting sqref="U15">
    <cfRule type="expression" dxfId="25" priority="93">
      <formula>IF($N$9&lt;0,TRUE())</formula>
    </cfRule>
  </conditionalFormatting>
  <conditionalFormatting sqref="U15">
    <cfRule type="expression" dxfId="24" priority="94">
      <formula>IF($N$9&gt;100,TRUE())</formula>
    </cfRule>
  </conditionalFormatting>
  <conditionalFormatting sqref="B4 N4">
    <cfRule type="cellIs" dxfId="23" priority="95" operator="lessThan">
      <formula>50</formula>
    </cfRule>
  </conditionalFormatting>
  <conditionalFormatting sqref="B4 N4">
    <cfRule type="cellIs" dxfId="22" priority="96" operator="greaterThan">
      <formula>150</formula>
    </cfRule>
  </conditionalFormatting>
  <conditionalFormatting sqref="B5 N5">
    <cfRule type="cellIs" dxfId="21" priority="97" operator="greaterThan">
      <formula>20</formula>
    </cfRule>
  </conditionalFormatting>
  <conditionalFormatting sqref="B10 N10">
    <cfRule type="cellIs" dxfId="20" priority="98" operator="greaterThan">
      <formula>250</formula>
    </cfRule>
  </conditionalFormatting>
  <conditionalFormatting sqref="B9 N9">
    <cfRule type="cellIs" dxfId="19" priority="99" operator="greaterThan">
      <formula>150</formula>
    </cfRule>
  </conditionalFormatting>
  <conditionalFormatting sqref="B6 N6">
    <cfRule type="cellIs" dxfId="18" priority="100" operator="greaterThan">
      <formula>50</formula>
    </cfRule>
  </conditionalFormatting>
  <conditionalFormatting sqref="B12 N12">
    <cfRule type="cellIs" dxfId="17" priority="101" operator="greaterThan">
      <formula>300</formula>
    </cfRule>
  </conditionalFormatting>
  <conditionalFormatting sqref="Q7">
    <cfRule type="expression" dxfId="16" priority="102">
      <formula>IF($N$20&lt;0,TRUE())</formula>
    </cfRule>
  </conditionalFormatting>
  <conditionalFormatting sqref="Q7">
    <cfRule type="expression" dxfId="15" priority="103">
      <formula>IF($N$20&gt;5,TRUE())</formula>
    </cfRule>
  </conditionalFormatting>
  <conditionalFormatting sqref="B8 N8">
    <cfRule type="cellIs" dxfId="14" priority="104" operator="notBetween">
      <formula>0</formula>
      <formula>500</formula>
    </cfRule>
  </conditionalFormatting>
  <conditionalFormatting sqref="Q21">
    <cfRule type="expression" dxfId="13" priority="105">
      <formula>IF($N$20&lt;8,TRUE())</formula>
    </cfRule>
  </conditionalFormatting>
  <conditionalFormatting sqref="Q21">
    <cfRule type="expression" dxfId="12" priority="106">
      <formula>IF($N$20&gt;15,TRUE())</formula>
    </cfRule>
  </conditionalFormatting>
  <conditionalFormatting sqref="R12">
    <cfRule type="expression" dxfId="11" priority="107">
      <formula>IF($N$4&lt;50,TRUE())</formula>
    </cfRule>
  </conditionalFormatting>
  <conditionalFormatting sqref="R12">
    <cfRule type="expression" dxfId="10" priority="108">
      <formula>IF($N$4&gt;150,TRUE())</formula>
    </cfRule>
  </conditionalFormatting>
  <conditionalFormatting sqref="B29">
    <cfRule type="cellIs" dxfId="9" priority="109" operator="greaterThan">
      <formula>20</formula>
    </cfRule>
  </conditionalFormatting>
  <conditionalFormatting sqref="B34">
    <cfRule type="cellIs" dxfId="8" priority="110" operator="greaterThan">
      <formula>250</formula>
    </cfRule>
  </conditionalFormatting>
  <conditionalFormatting sqref="B33">
    <cfRule type="cellIs" dxfId="7" priority="111" operator="greaterThan">
      <formula>150</formula>
    </cfRule>
  </conditionalFormatting>
  <conditionalFormatting sqref="B30">
    <cfRule type="cellIs" dxfId="6" priority="112" operator="greaterThan">
      <formula>50</formula>
    </cfRule>
  </conditionalFormatting>
  <conditionalFormatting sqref="B36">
    <cfRule type="cellIs" dxfId="5" priority="113" operator="greaterThan">
      <formula>300</formula>
    </cfRule>
  </conditionalFormatting>
  <conditionalFormatting sqref="B32">
    <cfRule type="cellIs" dxfId="4" priority="114" operator="notBetween">
      <formula>0</formula>
      <formula>500</formula>
    </cfRule>
  </conditionalFormatting>
  <conditionalFormatting sqref="E32">
    <cfRule type="cellIs" dxfId="3" priority="18" operator="greaterThan">
      <formula>50</formula>
    </cfRule>
  </conditionalFormatting>
  <conditionalFormatting sqref="E38">
    <cfRule type="cellIs" dxfId="2" priority="19" operator="greaterThan">
      <formula>300</formula>
    </cfRule>
  </conditionalFormatting>
  <conditionalFormatting sqref="H32">
    <cfRule type="cellIs" dxfId="1" priority="5" operator="greaterThan">
      <formula>50</formula>
    </cfRule>
  </conditionalFormatting>
  <conditionalFormatting sqref="H38">
    <cfRule type="cellIs" dxfId="0" priority="6" operator="greaterThan">
      <formula>300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JackFrost</dc:creator>
  <cp:lastModifiedBy>Robert Beck</cp:lastModifiedBy>
  <dcterms:created xsi:type="dcterms:W3CDTF">2019-01-06T22:46:59Z</dcterms:created>
  <dcterms:modified xsi:type="dcterms:W3CDTF">2019-01-10T12:38:52Z</dcterms:modified>
</cp:coreProperties>
</file>