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50630\Desktop\"/>
    </mc:Choice>
  </mc:AlternateContent>
  <bookViews>
    <workbookView xWindow="0" yWindow="0" windowWidth="28800" windowHeight="13455"/>
  </bookViews>
  <sheets>
    <sheet name="Ausgabe" sheetId="3" r:id="rId1"/>
  </sheets>
  <definedNames>
    <definedName name="CO2_Gärung">Ausgabe!$B$8</definedName>
    <definedName name="CO2_Hauhaltszucker">Ausgabe!$AD$5</definedName>
    <definedName name="CO2_Traubenzucker">Ausgabe!$AD$4</definedName>
    <definedName name="CO2_Wunsch">Ausgabe!$B$3</definedName>
    <definedName name="Flaschengröße">Ausgabe!$B$5</definedName>
    <definedName name="Gärtemperatur">Ausgabe!$B$4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" i="3" l="1"/>
  <c r="R3" i="3" s="1"/>
  <c r="J4" i="3"/>
  <c r="R4" i="3" s="1"/>
  <c r="J5" i="3"/>
  <c r="J6" i="3"/>
  <c r="R6" i="3" s="1"/>
  <c r="J7" i="3"/>
  <c r="R7" i="3" s="1"/>
  <c r="J8" i="3"/>
  <c r="R8" i="3" s="1"/>
  <c r="J9" i="3"/>
  <c r="R9" i="3" s="1"/>
  <c r="J10" i="3"/>
  <c r="R10" i="3" s="1"/>
  <c r="J11" i="3"/>
  <c r="R11" i="3" s="1"/>
  <c r="R2" i="3"/>
  <c r="R5" i="3"/>
  <c r="Q2" i="3"/>
  <c r="AA6" i="3"/>
  <c r="AA5" i="3"/>
  <c r="AA4" i="3"/>
  <c r="G4" i="3" l="1"/>
  <c r="G3" i="3"/>
  <c r="V2" i="3" l="1"/>
  <c r="U2" i="3"/>
  <c r="T2" i="3"/>
  <c r="P2" i="3"/>
  <c r="O11" i="3" l="1"/>
  <c r="O10" i="3"/>
  <c r="O9" i="3"/>
  <c r="O8" i="3"/>
  <c r="O7" i="3"/>
  <c r="O6" i="3"/>
  <c r="O5" i="3"/>
  <c r="O4" i="3"/>
  <c r="O3" i="3"/>
  <c r="AA11" i="3" l="1"/>
  <c r="AA12" i="3"/>
  <c r="AA10" i="3"/>
  <c r="G5" i="3"/>
  <c r="G6" i="3"/>
  <c r="G7" i="3"/>
  <c r="G8" i="3"/>
  <c r="G9" i="3"/>
  <c r="G10" i="3"/>
  <c r="G11" i="3"/>
  <c r="AA9" i="3" l="1"/>
  <c r="AA8" i="3"/>
  <c r="AA7" i="3"/>
  <c r="B8" i="3" l="1"/>
  <c r="H3" i="3" s="1"/>
  <c r="V4" i="3" l="1"/>
  <c r="I4" i="3"/>
  <c r="Q4" i="3" s="1"/>
  <c r="U4" i="3" s="1"/>
  <c r="I3" i="3"/>
  <c r="Q3" i="3" s="1"/>
  <c r="U3" i="3" s="1"/>
  <c r="V11" i="3"/>
  <c r="V9" i="3"/>
  <c r="V3" i="3"/>
  <c r="H10" i="3"/>
  <c r="P10" i="3" s="1"/>
  <c r="T10" i="3" s="1"/>
  <c r="H6" i="3"/>
  <c r="P6" i="3" s="1"/>
  <c r="T6" i="3" s="1"/>
  <c r="I10" i="3"/>
  <c r="Q10" i="3" s="1"/>
  <c r="U10" i="3" s="1"/>
  <c r="I8" i="3"/>
  <c r="Q8" i="3" s="1"/>
  <c r="U8" i="3" s="1"/>
  <c r="H4" i="3"/>
  <c r="P4" i="3" s="1"/>
  <c r="T4" i="3" s="1"/>
  <c r="I11" i="3"/>
  <c r="Q11" i="3" s="1"/>
  <c r="U11" i="3" s="1"/>
  <c r="I9" i="3"/>
  <c r="Q9" i="3" s="1"/>
  <c r="U9" i="3" s="1"/>
  <c r="I7" i="3"/>
  <c r="I5" i="3"/>
  <c r="H8" i="3"/>
  <c r="P8" i="3" s="1"/>
  <c r="T8" i="3" s="1"/>
  <c r="V10" i="3"/>
  <c r="I6" i="3"/>
  <c r="Q6" i="3" s="1"/>
  <c r="U6" i="3" s="1"/>
  <c r="H11" i="3"/>
  <c r="P11" i="3" s="1"/>
  <c r="T11" i="3" s="1"/>
  <c r="H9" i="3"/>
  <c r="P9" i="3" s="1"/>
  <c r="T9" i="3" s="1"/>
  <c r="H5" i="3"/>
  <c r="P5" i="3" s="1"/>
  <c r="T5" i="3" s="1"/>
  <c r="P3" i="3"/>
  <c r="T3" i="3" s="1"/>
  <c r="H7" i="3"/>
  <c r="P7" i="3" s="1"/>
  <c r="T7" i="3" s="1"/>
  <c r="B9" i="3"/>
  <c r="V6" i="3" l="1"/>
  <c r="V8" i="3"/>
  <c r="V5" i="3"/>
  <c r="V7" i="3"/>
  <c r="Q5" i="3"/>
  <c r="U5" i="3" s="1"/>
  <c r="Q7" i="3"/>
  <c r="U7" i="3" s="1"/>
  <c r="B13" i="3" l="1"/>
  <c r="B12" i="3"/>
  <c r="A12" i="3"/>
</calcChain>
</file>

<file path=xl/sharedStrings.xml><?xml version="1.0" encoding="utf-8"?>
<sst xmlns="http://schemas.openxmlformats.org/spreadsheetml/2006/main" count="38" uniqueCount="25">
  <si>
    <t>Gramm</t>
  </si>
  <si>
    <t>Gramm CO2</t>
  </si>
  <si>
    <t>CO2-Faktor Traubenzucker</t>
  </si>
  <si>
    <t>CO2-Faktor Zucker</t>
  </si>
  <si>
    <t>Dosierhilfe</t>
  </si>
  <si>
    <t>Eingaben:</t>
  </si>
  <si>
    <t>max. Gärtemperatur [°C]</t>
  </si>
  <si>
    <t>Berechnungen:</t>
  </si>
  <si>
    <r>
      <t>Gewünschter 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-Gehalt [g/l]</t>
    </r>
  </si>
  <si>
    <r>
      <t>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-Gehalt durch Gärung  [g/l]</t>
    </r>
  </si>
  <si>
    <r>
      <t>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durch Nachkarbonisierung [g/l]</t>
    </r>
  </si>
  <si>
    <t>Flaschengröße [l]</t>
  </si>
  <si>
    <t>Bestmögliche Zugabe:</t>
  </si>
  <si>
    <t>Endkarbonisierung [g/l]</t>
  </si>
  <si>
    <t>Zuckerart</t>
  </si>
  <si>
    <t>Größe</t>
  </si>
  <si>
    <t>Haushaltszucker</t>
  </si>
  <si>
    <t>Traubenzucker</t>
  </si>
  <si>
    <t>Nr.1</t>
  </si>
  <si>
    <t>Nr.2</t>
  </si>
  <si>
    <t>∑</t>
  </si>
  <si>
    <t>Puderzucker</t>
  </si>
  <si>
    <t>Karbonisierung [g/l]</t>
  </si>
  <si>
    <t>Differenz zur Wunschkarbonisierung [g/l]</t>
  </si>
  <si>
    <t>Einstellungen: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</si>
</sst>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&quot;=&quot;\ 0.00"/>
    <numFmt numFmtId="166" formatCode="0.0000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4" tint="0.3999755851924192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2" borderId="9" xfId="0" applyFont="1" applyFill="1" applyBorder="1" applyAlignment="1">
      <alignment vertical="center"/>
    </xf>
    <xf numFmtId="0" fontId="1" fillId="2" borderId="10" xfId="0" applyFont="1" applyFill="1" applyBorder="1" applyAlignment="1">
      <alignment vertical="center"/>
    </xf>
    <xf numFmtId="2" fontId="0" fillId="0" borderId="7" xfId="0" applyNumberFormat="1" applyBorder="1" applyAlignment="1">
      <alignment vertical="center"/>
    </xf>
    <xf numFmtId="2" fontId="0" fillId="0" borderId="0" xfId="0" applyNumberFormat="1" applyBorder="1" applyAlignment="1">
      <alignment vertical="center"/>
    </xf>
    <xf numFmtId="0" fontId="0" fillId="0" borderId="9" xfId="0" applyBorder="1" applyAlignment="1">
      <alignment vertical="center"/>
    </xf>
    <xf numFmtId="164" fontId="0" fillId="0" borderId="10" xfId="0" applyNumberFormat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3" borderId="9" xfId="0" applyFont="1" applyFill="1" applyBorder="1" applyAlignment="1">
      <alignment vertical="center"/>
    </xf>
    <xf numFmtId="2" fontId="1" fillId="3" borderId="10" xfId="0" applyNumberFormat="1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2" fontId="1" fillId="0" borderId="9" xfId="0" applyNumberFormat="1" applyFont="1" applyBorder="1" applyAlignment="1">
      <alignment horizontal="center" vertical="center" textRotation="90"/>
    </xf>
    <xf numFmtId="2" fontId="1" fillId="0" borderId="11" xfId="0" applyNumberFormat="1" applyFont="1" applyBorder="1" applyAlignment="1">
      <alignment horizontal="center" vertical="center" textRotation="90"/>
    </xf>
    <xf numFmtId="2" fontId="1" fillId="0" borderId="10" xfId="0" applyNumberFormat="1" applyFont="1" applyBorder="1" applyAlignment="1">
      <alignment horizontal="center" vertical="center" textRotation="90"/>
    </xf>
    <xf numFmtId="0" fontId="4" fillId="0" borderId="7" xfId="0" applyFont="1" applyBorder="1" applyAlignment="1">
      <alignment vertical="center" textRotation="90"/>
    </xf>
    <xf numFmtId="0" fontId="4" fillId="0" borderId="0" xfId="0" applyFont="1" applyBorder="1" applyAlignment="1">
      <alignment vertical="center" textRotation="90"/>
    </xf>
    <xf numFmtId="0" fontId="0" fillId="0" borderId="1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1" fillId="0" borderId="0" xfId="0" applyFont="1" applyAlignment="1"/>
    <xf numFmtId="0" fontId="1" fillId="0" borderId="8" xfId="0" applyFont="1" applyFill="1" applyBorder="1" applyAlignment="1"/>
    <xf numFmtId="2" fontId="0" fillId="0" borderId="0" xfId="0" applyNumberFormat="1" applyAlignment="1">
      <alignment vertical="center"/>
    </xf>
    <xf numFmtId="2" fontId="6" fillId="3" borderId="10" xfId="0" applyNumberFormat="1" applyFont="1" applyFill="1" applyBorder="1" applyAlignment="1">
      <alignment vertical="center"/>
    </xf>
    <xf numFmtId="0" fontId="5" fillId="0" borderId="1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65" fontId="0" fillId="0" borderId="2" xfId="0" applyNumberFormat="1" applyFont="1" applyFill="1" applyBorder="1" applyAlignment="1">
      <alignment horizontal="center" vertical="center"/>
    </xf>
    <xf numFmtId="165" fontId="0" fillId="0" borderId="4" xfId="0" applyNumberFormat="1" applyFont="1" applyFill="1" applyBorder="1" applyAlignment="1">
      <alignment horizontal="center" vertical="center"/>
    </xf>
    <xf numFmtId="165" fontId="0" fillId="0" borderId="6" xfId="0" applyNumberFormat="1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right" vertical="center"/>
    </xf>
    <xf numFmtId="2" fontId="0" fillId="0" borderId="7" xfId="0" applyNumberFormat="1" applyBorder="1" applyAlignment="1">
      <alignment horizontal="right" vertical="center"/>
    </xf>
    <xf numFmtId="2" fontId="0" fillId="0" borderId="2" xfId="0" applyNumberFormat="1" applyBorder="1" applyAlignment="1">
      <alignment horizontal="right" vertical="center"/>
    </xf>
    <xf numFmtId="2" fontId="0" fillId="0" borderId="3" xfId="0" applyNumberFormat="1" applyBorder="1" applyAlignment="1">
      <alignment horizontal="right" vertical="center"/>
    </xf>
    <xf numFmtId="2" fontId="0" fillId="0" borderId="0" xfId="0" applyNumberFormat="1" applyBorder="1" applyAlignment="1">
      <alignment horizontal="right" vertical="center"/>
    </xf>
    <xf numFmtId="2" fontId="0" fillId="0" borderId="4" xfId="0" applyNumberFormat="1" applyBorder="1" applyAlignment="1">
      <alignment horizontal="right" vertical="center"/>
    </xf>
    <xf numFmtId="2" fontId="0" fillId="0" borderId="5" xfId="0" applyNumberFormat="1" applyBorder="1" applyAlignment="1">
      <alignment horizontal="right" vertical="center"/>
    </xf>
    <xf numFmtId="2" fontId="0" fillId="0" borderId="8" xfId="0" applyNumberFormat="1" applyBorder="1" applyAlignment="1">
      <alignment horizontal="right" vertical="center"/>
    </xf>
    <xf numFmtId="2" fontId="0" fillId="0" borderId="6" xfId="0" applyNumberFormat="1" applyBorder="1" applyAlignment="1">
      <alignment horizontal="right" vertical="center"/>
    </xf>
    <xf numFmtId="0" fontId="0" fillId="2" borderId="0" xfId="0" applyFont="1" applyFill="1"/>
    <xf numFmtId="0" fontId="0" fillId="2" borderId="0" xfId="0" applyFill="1"/>
    <xf numFmtId="0" fontId="0" fillId="2" borderId="0" xfId="0" applyFill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166" fontId="0" fillId="0" borderId="1" xfId="0" applyNumberFormat="1" applyBorder="1" applyAlignment="1">
      <alignment vertical="center"/>
    </xf>
    <xf numFmtId="166" fontId="0" fillId="0" borderId="7" xfId="0" applyNumberFormat="1" applyBorder="1" applyAlignment="1">
      <alignment vertical="center"/>
    </xf>
    <xf numFmtId="166" fontId="0" fillId="0" borderId="2" xfId="0" applyNumberFormat="1" applyBorder="1" applyAlignment="1">
      <alignment vertical="center"/>
    </xf>
    <xf numFmtId="166" fontId="0" fillId="0" borderId="3" xfId="0" applyNumberFormat="1" applyBorder="1" applyAlignment="1">
      <alignment vertical="center"/>
    </xf>
    <xf numFmtId="166" fontId="0" fillId="0" borderId="0" xfId="0" applyNumberFormat="1" applyBorder="1" applyAlignment="1">
      <alignment vertical="center"/>
    </xf>
    <xf numFmtId="166" fontId="0" fillId="0" borderId="4" xfId="0" applyNumberFormat="1" applyBorder="1" applyAlignment="1">
      <alignment vertical="center"/>
    </xf>
    <xf numFmtId="166" fontId="0" fillId="0" borderId="5" xfId="0" applyNumberFormat="1" applyBorder="1" applyAlignment="1">
      <alignment vertical="center"/>
    </xf>
    <xf numFmtId="166" fontId="0" fillId="0" borderId="8" xfId="0" applyNumberFormat="1" applyBorder="1" applyAlignment="1">
      <alignment vertical="center"/>
    </xf>
    <xf numFmtId="166" fontId="0" fillId="0" borderId="6" xfId="0" applyNumberFormat="1" applyBorder="1" applyAlignment="1">
      <alignment vertical="center"/>
    </xf>
    <xf numFmtId="2" fontId="0" fillId="0" borderId="0" xfId="0" applyNumberFormat="1"/>
    <xf numFmtId="0" fontId="7" fillId="0" borderId="3" xfId="0" applyFont="1" applyBorder="1" applyAlignment="1">
      <alignment horizontal="center" vertical="center" textRotation="90"/>
    </xf>
    <xf numFmtId="0" fontId="7" fillId="0" borderId="5" xfId="0" applyFont="1" applyBorder="1" applyAlignment="1">
      <alignment horizontal="center" vertical="center" textRotation="90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</cellXfs>
  <cellStyles count="1">
    <cellStyle name="Standard" xfId="0" builtinId="0"/>
  </cellStyles>
  <dxfs count="9"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font>
        <b/>
        <i val="0"/>
      </font>
    </dxf>
    <dxf>
      <border>
        <left style="thin">
          <color auto="1"/>
        </left>
        <vertical/>
        <horizontal/>
      </border>
    </dxf>
    <dxf>
      <border>
        <right style="thin">
          <color auto="1"/>
        </right>
        <vertical/>
        <horizontal/>
      </border>
    </dxf>
    <dxf>
      <border>
        <left style="thin">
          <color auto="1"/>
        </left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8"/>
  <sheetViews>
    <sheetView tabSelected="1" workbookViewId="0">
      <selection activeCell="B5" sqref="B5"/>
    </sheetView>
  </sheetViews>
  <sheetFormatPr baseColWidth="10" defaultColWidth="5" defaultRowHeight="15.75" customHeight="1" x14ac:dyDescent="0.25"/>
  <cols>
    <col min="1" max="1" width="32.7109375" style="2" bestFit="1" customWidth="1"/>
    <col min="2" max="2" width="6" style="2" bestFit="1" customWidth="1"/>
    <col min="3" max="4" width="5.7109375" style="2" customWidth="1"/>
    <col min="5" max="7" width="5.7109375" style="3" customWidth="1"/>
    <col min="8" max="18" width="5.7109375" style="2" customWidth="1"/>
    <col min="19" max="19" width="5" style="2" customWidth="1"/>
    <col min="20" max="22" width="9.5703125" style="2" hidden="1" customWidth="1"/>
    <col min="23" max="23" width="0" style="2" hidden="1" customWidth="1"/>
    <col min="24" max="24" width="15.28515625" style="2" bestFit="1" customWidth="1"/>
    <col min="25" max="25" width="6.5703125" style="2" bestFit="1" customWidth="1"/>
    <col min="26" max="26" width="7.5703125" style="2" bestFit="1" customWidth="1"/>
    <col min="27" max="27" width="11.5703125" style="2" bestFit="1" customWidth="1"/>
    <col min="28" max="28" width="5" style="2"/>
    <col min="29" max="29" width="24.5703125" style="2" bestFit="1" customWidth="1"/>
    <col min="30" max="16384" width="5" style="2"/>
  </cols>
  <sheetData>
    <row r="1" spans="1:30" ht="15.75" customHeight="1" x14ac:dyDescent="0.25">
      <c r="D1" s="61" t="s">
        <v>22</v>
      </c>
      <c r="E1" s="62"/>
      <c r="F1" s="62"/>
      <c r="G1" s="62"/>
      <c r="H1" s="62"/>
      <c r="I1" s="62"/>
      <c r="J1" s="63"/>
      <c r="L1" s="61" t="s">
        <v>23</v>
      </c>
      <c r="M1" s="62"/>
      <c r="N1" s="62"/>
      <c r="O1" s="62"/>
      <c r="P1" s="62"/>
      <c r="Q1" s="62"/>
      <c r="R1" s="63"/>
    </row>
    <row r="2" spans="1:30" ht="80.25" x14ac:dyDescent="0.25">
      <c r="A2" s="26" t="s">
        <v>5</v>
      </c>
      <c r="B2" s="3"/>
      <c r="D2" s="59" t="s">
        <v>4</v>
      </c>
      <c r="E2" s="47" t="s">
        <v>18</v>
      </c>
      <c r="F2" s="31" t="s">
        <v>19</v>
      </c>
      <c r="G2" s="30" t="s">
        <v>20</v>
      </c>
      <c r="H2" s="15" t="s">
        <v>16</v>
      </c>
      <c r="I2" s="16" t="s">
        <v>21</v>
      </c>
      <c r="J2" s="17" t="s">
        <v>17</v>
      </c>
      <c r="L2" s="59" t="s">
        <v>4</v>
      </c>
      <c r="M2" s="48" t="s">
        <v>18</v>
      </c>
      <c r="N2" s="31" t="s">
        <v>19</v>
      </c>
      <c r="O2" s="30" t="s">
        <v>20</v>
      </c>
      <c r="P2" s="15" t="str">
        <f>H2</f>
        <v>Haushaltszucker</v>
      </c>
      <c r="Q2" s="16" t="str">
        <f>I2</f>
        <v>Puderzucker</v>
      </c>
      <c r="R2" s="17" t="str">
        <f>J2</f>
        <v>Traubenzucker</v>
      </c>
      <c r="T2" s="15" t="str">
        <f>H2</f>
        <v>Haushaltszucker</v>
      </c>
      <c r="U2" s="16" t="str">
        <f>I2</f>
        <v>Puderzucker</v>
      </c>
      <c r="V2" s="17" t="str">
        <f>J2</f>
        <v>Traubenzucker</v>
      </c>
      <c r="X2" s="64" t="s">
        <v>24</v>
      </c>
      <c r="Y2" s="64"/>
      <c r="Z2" s="64"/>
      <c r="AA2" s="64"/>
      <c r="AB2" s="64"/>
      <c r="AC2" s="64"/>
      <c r="AD2" s="64"/>
    </row>
    <row r="3" spans="1:30" ht="15.75" customHeight="1" x14ac:dyDescent="0.25">
      <c r="A3" s="4" t="s">
        <v>8</v>
      </c>
      <c r="B3" s="5">
        <v>5</v>
      </c>
      <c r="D3" s="59"/>
      <c r="E3" s="20">
        <v>0.33</v>
      </c>
      <c r="F3" s="21"/>
      <c r="G3" s="32">
        <f>E3+F3</f>
        <v>0.33</v>
      </c>
      <c r="H3" s="35">
        <f t="shared" ref="H3:J11" si="0">CO2_Gärung+(SUMPRODUCT((($X$4:$X$12=H$2)*$Y$4:$Y$12=$E3)*($AA$4:$AA$12))/Flaschengröße)+IF($F3&gt;0,(SUMPRODUCT((($X$4:$X$12=H$2)*$Y$4:$Y$12=$F3)*($AA$4:$AA$12))/Flaschengröße),0)</f>
        <v>3.9540790950049747</v>
      </c>
      <c r="I3" s="36">
        <f t="shared" si="0"/>
        <v>3.4153377217655381</v>
      </c>
      <c r="J3" s="37">
        <f t="shared" si="0"/>
        <v>3.1811827921880731</v>
      </c>
      <c r="L3" s="59"/>
      <c r="M3" s="20">
        <v>0.33</v>
      </c>
      <c r="N3" s="21"/>
      <c r="O3" s="32">
        <f>M3+N3</f>
        <v>0.33</v>
      </c>
      <c r="P3" s="35">
        <f t="shared" ref="P3:P11" si="1">H3-CO2_Wunsch</f>
        <v>-1.0459209049950253</v>
      </c>
      <c r="Q3" s="36">
        <f t="shared" ref="Q3:Q11" si="2">I3-CO2_Wunsch</f>
        <v>-1.5846622782344619</v>
      </c>
      <c r="R3" s="37">
        <f t="shared" ref="R3:R11" si="3">J3-CO2_Wunsch</f>
        <v>-1.8188172078119269</v>
      </c>
      <c r="T3" s="49">
        <f>IF(P3&lt;0,P3*-1,P3)</f>
        <v>1.0459209049950253</v>
      </c>
      <c r="U3" s="50">
        <f t="shared" ref="U3:U11" si="4">IF(Q3&lt;0,Q3*-1,Q3)</f>
        <v>1.5846622782344619</v>
      </c>
      <c r="V3" s="51">
        <f t="shared" ref="V3:V11" si="5">IF(R3&lt;0,R3*-1,R3)</f>
        <v>1.8188172078119269</v>
      </c>
      <c r="X3" s="1" t="s">
        <v>14</v>
      </c>
      <c r="Y3" s="1" t="s">
        <v>15</v>
      </c>
      <c r="Z3" s="1" t="s">
        <v>0</v>
      </c>
      <c r="AA3" s="1" t="s">
        <v>1</v>
      </c>
      <c r="AB3"/>
    </row>
    <row r="4" spans="1:30" ht="15.75" customHeight="1" x14ac:dyDescent="0.25">
      <c r="A4" s="4" t="s">
        <v>6</v>
      </c>
      <c r="B4" s="5">
        <v>19</v>
      </c>
      <c r="D4" s="59"/>
      <c r="E4" s="22">
        <v>0.5</v>
      </c>
      <c r="F4" s="23"/>
      <c r="G4" s="33">
        <f>E4+F4</f>
        <v>0.5</v>
      </c>
      <c r="H4" s="38">
        <f t="shared" si="0"/>
        <v>5.1213326161317347</v>
      </c>
      <c r="I4" s="39">
        <f t="shared" si="0"/>
        <v>4.4030137781035661</v>
      </c>
      <c r="J4" s="40">
        <f t="shared" si="0"/>
        <v>4.0332954682444111</v>
      </c>
      <c r="L4" s="59"/>
      <c r="M4" s="22">
        <v>0.5</v>
      </c>
      <c r="N4" s="23"/>
      <c r="O4" s="33">
        <f t="shared" ref="O4:O11" si="6">M4+N4</f>
        <v>0.5</v>
      </c>
      <c r="P4" s="38">
        <f t="shared" si="1"/>
        <v>0.12133261613173474</v>
      </c>
      <c r="Q4" s="39">
        <f t="shared" si="2"/>
        <v>-0.59698622189643391</v>
      </c>
      <c r="R4" s="40">
        <f t="shared" si="3"/>
        <v>-0.9667045317555889</v>
      </c>
      <c r="T4" s="52">
        <f t="shared" ref="T4:T11" si="7">IF(P4&lt;0,P4*-1,P4)</f>
        <v>0.12133261613173474</v>
      </c>
      <c r="U4" s="53">
        <f t="shared" si="4"/>
        <v>0.59698622189643391</v>
      </c>
      <c r="V4" s="54">
        <f t="shared" si="5"/>
        <v>0.9667045317555889</v>
      </c>
      <c r="X4" s="44" t="s">
        <v>16</v>
      </c>
      <c r="Y4" s="44">
        <v>0.33</v>
      </c>
      <c r="Z4" s="45">
        <v>2.5</v>
      </c>
      <c r="AA4" s="58">
        <f>(Z4+0.00001)*CO2_Hauhaltszucker</f>
        <v>1.2750051</v>
      </c>
      <c r="AB4"/>
      <c r="AC4" t="s">
        <v>2</v>
      </c>
      <c r="AD4" s="45">
        <v>0.44</v>
      </c>
    </row>
    <row r="5" spans="1:30" ht="15.75" customHeight="1" x14ac:dyDescent="0.25">
      <c r="A5" s="4" t="s">
        <v>11</v>
      </c>
      <c r="B5" s="5">
        <v>0.56799999999999995</v>
      </c>
      <c r="D5" s="59"/>
      <c r="E5" s="22">
        <v>0.33</v>
      </c>
      <c r="F5" s="23">
        <v>0.33</v>
      </c>
      <c r="G5" s="33">
        <f t="shared" ref="G5:G11" si="8">E5+F5</f>
        <v>0.66</v>
      </c>
      <c r="H5" s="38">
        <f t="shared" si="0"/>
        <v>6.1988063837373693</v>
      </c>
      <c r="I5" s="39">
        <f t="shared" si="0"/>
        <v>5.121323637258496</v>
      </c>
      <c r="J5" s="40">
        <f t="shared" si="0"/>
        <v>4.6530137781035661</v>
      </c>
      <c r="L5" s="59"/>
      <c r="M5" s="22">
        <v>0.33</v>
      </c>
      <c r="N5" s="23">
        <v>0.33</v>
      </c>
      <c r="O5" s="33">
        <f t="shared" si="6"/>
        <v>0.66</v>
      </c>
      <c r="P5" s="38">
        <f t="shared" si="1"/>
        <v>1.1988063837373693</v>
      </c>
      <c r="Q5" s="39">
        <f t="shared" si="2"/>
        <v>0.12132363725849604</v>
      </c>
      <c r="R5" s="40">
        <f t="shared" si="3"/>
        <v>-0.34698622189643391</v>
      </c>
      <c r="T5" s="52">
        <f t="shared" si="7"/>
        <v>1.1988063837373693</v>
      </c>
      <c r="U5" s="53">
        <f t="shared" si="4"/>
        <v>0.12132363725849604</v>
      </c>
      <c r="V5" s="54">
        <f t="shared" si="5"/>
        <v>0.34698622189643391</v>
      </c>
      <c r="X5" s="44" t="s">
        <v>16</v>
      </c>
      <c r="Y5" s="44">
        <v>0.5</v>
      </c>
      <c r="Z5" s="45">
        <v>3.8</v>
      </c>
      <c r="AA5" s="58">
        <f>(Z5+0.00001)*CO2_Hauhaltszucker</f>
        <v>1.9380051</v>
      </c>
      <c r="AB5"/>
      <c r="AC5" t="s">
        <v>3</v>
      </c>
      <c r="AD5" s="45">
        <v>0.51</v>
      </c>
    </row>
    <row r="6" spans="1:30" ht="15.75" customHeight="1" x14ac:dyDescent="0.25">
      <c r="D6" s="59"/>
      <c r="E6" s="22">
        <v>0.75</v>
      </c>
      <c r="F6" s="23"/>
      <c r="G6" s="33">
        <f t="shared" si="8"/>
        <v>0.75</v>
      </c>
      <c r="H6" s="38">
        <f t="shared" si="0"/>
        <v>6.8273185316246936</v>
      </c>
      <c r="I6" s="39">
        <f t="shared" si="0"/>
        <v>5.6600560316246931</v>
      </c>
      <c r="J6" s="40">
        <f t="shared" si="0"/>
        <v>5.117802510497933</v>
      </c>
      <c r="L6" s="59"/>
      <c r="M6" s="22">
        <v>0.75</v>
      </c>
      <c r="N6" s="23"/>
      <c r="O6" s="33">
        <f t="shared" si="6"/>
        <v>0.75</v>
      </c>
      <c r="P6" s="38">
        <f t="shared" si="1"/>
        <v>1.8273185316246936</v>
      </c>
      <c r="Q6" s="39">
        <f t="shared" si="2"/>
        <v>0.66005603162469306</v>
      </c>
      <c r="R6" s="40">
        <f t="shared" si="3"/>
        <v>0.117802510497933</v>
      </c>
      <c r="T6" s="52">
        <f t="shared" si="7"/>
        <v>1.8273185316246936</v>
      </c>
      <c r="U6" s="53">
        <f t="shared" si="4"/>
        <v>0.66005603162469306</v>
      </c>
      <c r="V6" s="54">
        <f t="shared" si="5"/>
        <v>0.117802510497933</v>
      </c>
      <c r="X6" s="44" t="s">
        <v>16</v>
      </c>
      <c r="Y6" s="44">
        <v>0.75</v>
      </c>
      <c r="Z6" s="45">
        <v>5.7</v>
      </c>
      <c r="AA6" s="58">
        <f>(Z6+0.00001)*CO2_Hauhaltszucker</f>
        <v>2.9070051000000001</v>
      </c>
      <c r="AB6"/>
      <c r="AC6"/>
      <c r="AD6"/>
    </row>
    <row r="7" spans="1:30" ht="15.75" customHeight="1" x14ac:dyDescent="0.25">
      <c r="A7" s="26" t="s">
        <v>7</v>
      </c>
      <c r="D7" s="59"/>
      <c r="E7" s="22">
        <v>0.33</v>
      </c>
      <c r="F7" s="23">
        <v>0.5</v>
      </c>
      <c r="G7" s="33">
        <f t="shared" si="8"/>
        <v>0.83000000000000007</v>
      </c>
      <c r="H7" s="38">
        <f t="shared" si="0"/>
        <v>7.3660599048641302</v>
      </c>
      <c r="I7" s="39">
        <f t="shared" si="0"/>
        <v>6.1089996935965241</v>
      </c>
      <c r="J7" s="40">
        <f t="shared" si="0"/>
        <v>5.505126454159905</v>
      </c>
      <c r="L7" s="59"/>
      <c r="M7" s="22">
        <v>0.33</v>
      </c>
      <c r="N7" s="23">
        <v>0.5</v>
      </c>
      <c r="O7" s="33">
        <f t="shared" si="6"/>
        <v>0.83000000000000007</v>
      </c>
      <c r="P7" s="38">
        <f t="shared" si="1"/>
        <v>2.3660599048641302</v>
      </c>
      <c r="Q7" s="39">
        <f t="shared" si="2"/>
        <v>1.1089996935965241</v>
      </c>
      <c r="R7" s="40">
        <f t="shared" si="3"/>
        <v>0.50512645415990498</v>
      </c>
      <c r="T7" s="52">
        <f t="shared" si="7"/>
        <v>2.3660599048641302</v>
      </c>
      <c r="U7" s="53">
        <f t="shared" si="4"/>
        <v>1.1089996935965241</v>
      </c>
      <c r="V7" s="54">
        <f t="shared" si="5"/>
        <v>0.50512645415990498</v>
      </c>
      <c r="X7" s="44" t="s">
        <v>17</v>
      </c>
      <c r="Y7" s="44">
        <v>0.33</v>
      </c>
      <c r="Z7" s="45">
        <v>1.9</v>
      </c>
      <c r="AA7" s="58">
        <f>Z7*CO2_Traubenzucker</f>
        <v>0.83599999999999997</v>
      </c>
      <c r="AB7"/>
      <c r="AC7"/>
      <c r="AD7"/>
    </row>
    <row r="8" spans="1:30" ht="15.75" customHeight="1" x14ac:dyDescent="0.25">
      <c r="A8" s="8" t="s">
        <v>9</v>
      </c>
      <c r="B8" s="9">
        <f>10.13 * POWER(EXP(1), -10.73797 + (2617.25 / (Gärtemperatur + 273.15)))</f>
        <v>1.7093518062725801</v>
      </c>
      <c r="D8" s="59"/>
      <c r="E8" s="22">
        <v>0.5</v>
      </c>
      <c r="F8" s="23">
        <v>0.5</v>
      </c>
      <c r="G8" s="33">
        <f t="shared" si="8"/>
        <v>1</v>
      </c>
      <c r="H8" s="38">
        <f t="shared" si="0"/>
        <v>8.5333134259908903</v>
      </c>
      <c r="I8" s="39">
        <f t="shared" si="0"/>
        <v>7.0966757499345521</v>
      </c>
      <c r="J8" s="40">
        <f t="shared" si="0"/>
        <v>6.357239130216243</v>
      </c>
      <c r="L8" s="59"/>
      <c r="M8" s="22">
        <v>0.5</v>
      </c>
      <c r="N8" s="23">
        <v>0.5</v>
      </c>
      <c r="O8" s="33">
        <f t="shared" si="6"/>
        <v>1</v>
      </c>
      <c r="P8" s="38">
        <f t="shared" si="1"/>
        <v>3.5333134259908903</v>
      </c>
      <c r="Q8" s="39">
        <f t="shared" si="2"/>
        <v>2.0966757499345521</v>
      </c>
      <c r="R8" s="40">
        <f t="shared" si="3"/>
        <v>1.357239130216243</v>
      </c>
      <c r="T8" s="52">
        <f t="shared" si="7"/>
        <v>3.5333134259908903</v>
      </c>
      <c r="U8" s="53">
        <f t="shared" si="4"/>
        <v>2.0966757499345521</v>
      </c>
      <c r="V8" s="54">
        <f t="shared" si="5"/>
        <v>1.357239130216243</v>
      </c>
      <c r="X8" s="44" t="s">
        <v>17</v>
      </c>
      <c r="Y8" s="44">
        <v>0.5</v>
      </c>
      <c r="Z8" s="45">
        <v>3</v>
      </c>
      <c r="AA8" s="58">
        <f>Z8*CO2_Traubenzucker</f>
        <v>1.32</v>
      </c>
      <c r="AB8"/>
      <c r="AC8"/>
      <c r="AD8"/>
    </row>
    <row r="9" spans="1:30" ht="15.75" customHeight="1" x14ac:dyDescent="0.25">
      <c r="A9" s="8" t="s">
        <v>10</v>
      </c>
      <c r="B9" s="9">
        <f>CO2_Wunsch-CO2_Gärung</f>
        <v>3.2906481937274199</v>
      </c>
      <c r="D9" s="59"/>
      <c r="E9" s="22">
        <v>0.33</v>
      </c>
      <c r="F9" s="23">
        <v>0.75</v>
      </c>
      <c r="G9" s="33">
        <f t="shared" si="8"/>
        <v>1.08</v>
      </c>
      <c r="H9" s="38">
        <f t="shared" si="0"/>
        <v>9.0720458203570882</v>
      </c>
      <c r="I9" s="39">
        <f t="shared" si="0"/>
        <v>7.366041947117651</v>
      </c>
      <c r="J9" s="40">
        <f t="shared" si="0"/>
        <v>6.589633496413426</v>
      </c>
      <c r="L9" s="59"/>
      <c r="M9" s="22">
        <v>0.33</v>
      </c>
      <c r="N9" s="23">
        <v>0.75</v>
      </c>
      <c r="O9" s="33">
        <f t="shared" si="6"/>
        <v>1.08</v>
      </c>
      <c r="P9" s="38">
        <f t="shared" si="1"/>
        <v>4.0720458203570882</v>
      </c>
      <c r="Q9" s="39">
        <f t="shared" si="2"/>
        <v>2.366041947117651</v>
      </c>
      <c r="R9" s="40">
        <f t="shared" si="3"/>
        <v>1.589633496413426</v>
      </c>
      <c r="T9" s="52">
        <f t="shared" si="7"/>
        <v>4.0720458203570882</v>
      </c>
      <c r="U9" s="53">
        <f t="shared" si="4"/>
        <v>2.366041947117651</v>
      </c>
      <c r="V9" s="54">
        <f t="shared" si="5"/>
        <v>1.589633496413426</v>
      </c>
      <c r="X9" s="44" t="s">
        <v>17</v>
      </c>
      <c r="Y9" s="44">
        <v>0.75</v>
      </c>
      <c r="Z9" s="45">
        <v>4.4000000000000004</v>
      </c>
      <c r="AA9" s="58">
        <f>Z9*CO2_Traubenzucker</f>
        <v>1.9360000000000002</v>
      </c>
    </row>
    <row r="10" spans="1:30" ht="15.75" customHeight="1" x14ac:dyDescent="0.25">
      <c r="D10" s="59"/>
      <c r="E10" s="22">
        <v>0.5</v>
      </c>
      <c r="F10" s="23">
        <v>0.75</v>
      </c>
      <c r="G10" s="33">
        <f t="shared" si="8"/>
        <v>1.25</v>
      </c>
      <c r="H10" s="38">
        <f t="shared" si="0"/>
        <v>10.239299341483848</v>
      </c>
      <c r="I10" s="39">
        <f t="shared" si="0"/>
        <v>8.3537180034556791</v>
      </c>
      <c r="J10" s="40">
        <f t="shared" si="0"/>
        <v>7.441746172469764</v>
      </c>
      <c r="L10" s="59"/>
      <c r="M10" s="22">
        <v>0.5</v>
      </c>
      <c r="N10" s="23">
        <v>0.75</v>
      </c>
      <c r="O10" s="33">
        <f t="shared" si="6"/>
        <v>1.25</v>
      </c>
      <c r="P10" s="38">
        <f t="shared" si="1"/>
        <v>5.2392993414838482</v>
      </c>
      <c r="Q10" s="39">
        <f t="shared" si="2"/>
        <v>3.3537180034556791</v>
      </c>
      <c r="R10" s="40">
        <f t="shared" si="3"/>
        <v>2.441746172469764</v>
      </c>
      <c r="T10" s="52">
        <f t="shared" si="7"/>
        <v>5.2392993414838482</v>
      </c>
      <c r="U10" s="53">
        <f t="shared" si="4"/>
        <v>3.3537180034556791</v>
      </c>
      <c r="V10" s="54">
        <f t="shared" si="5"/>
        <v>2.441746172469764</v>
      </c>
      <c r="X10" s="46" t="s">
        <v>21</v>
      </c>
      <c r="Y10" s="44">
        <v>0.33</v>
      </c>
      <c r="Z10" s="46">
        <v>1.9</v>
      </c>
      <c r="AA10" s="58">
        <f>Z10*CO2_Hauhaltszucker</f>
        <v>0.96899999999999997</v>
      </c>
    </row>
    <row r="11" spans="1:30" ht="15.75" customHeight="1" x14ac:dyDescent="0.25">
      <c r="A11" s="27" t="s">
        <v>12</v>
      </c>
      <c r="B11" s="10"/>
      <c r="D11" s="60"/>
      <c r="E11" s="24">
        <v>0.75</v>
      </c>
      <c r="F11" s="25">
        <v>0.75</v>
      </c>
      <c r="G11" s="34">
        <f t="shared" si="8"/>
        <v>1.5</v>
      </c>
      <c r="H11" s="41">
        <f t="shared" si="0"/>
        <v>11.945285256976806</v>
      </c>
      <c r="I11" s="42">
        <f t="shared" si="0"/>
        <v>9.6107602569768069</v>
      </c>
      <c r="J11" s="43">
        <f t="shared" si="0"/>
        <v>8.5262532147232868</v>
      </c>
      <c r="L11" s="60"/>
      <c r="M11" s="24">
        <v>0.75</v>
      </c>
      <c r="N11" s="25">
        <v>0.75</v>
      </c>
      <c r="O11" s="34">
        <f t="shared" si="6"/>
        <v>1.5</v>
      </c>
      <c r="P11" s="41">
        <f t="shared" si="1"/>
        <v>6.9452852569768062</v>
      </c>
      <c r="Q11" s="42">
        <f t="shared" si="2"/>
        <v>4.6107602569768069</v>
      </c>
      <c r="R11" s="43">
        <f t="shared" si="3"/>
        <v>3.5262532147232868</v>
      </c>
      <c r="T11" s="55">
        <f t="shared" si="7"/>
        <v>6.9452852569768062</v>
      </c>
      <c r="U11" s="56">
        <f t="shared" si="4"/>
        <v>4.6107602569768069</v>
      </c>
      <c r="V11" s="57">
        <f t="shared" si="5"/>
        <v>3.5262532147232868</v>
      </c>
      <c r="X11" s="46" t="s">
        <v>21</v>
      </c>
      <c r="Y11" s="44">
        <v>0.5</v>
      </c>
      <c r="Z11" s="46">
        <v>3</v>
      </c>
      <c r="AA11" s="58">
        <f>Z11*CO2_Hauhaltszucker</f>
        <v>1.53</v>
      </c>
    </row>
    <row r="12" spans="1:30" ht="15.75" customHeight="1" x14ac:dyDescent="0.25">
      <c r="A12" s="11" t="str">
        <f>_xlfn.IFNA(INDEX($E$3:$E$11,MATCH(MIN($T$3:$V$11),T3:T11,0)),"")&amp;IF(_xlfn.IFNA(INDEX($F$3:$F$11,MATCH(MIN($T$3:$V$11),T3:T11,0)),"")&gt;0,_xlfn.IFNA(" + "&amp;INDEX($F$3:$F$11,MATCH(MIN($T$3:$V$11),T3:T11,0)),""),"")&amp;_xlfn.IFNA(INDEX($E$3:$E$11,MATCH(MIN($T$3:$V$11),U3:U11,0)),"")&amp;IF(_xlfn.IFNA(INDEX($F$3:$F$11,MATCH(MIN($T$3:$V$11),U3:U11,0)),"")&gt;0,_xlfn.IFNA(" + "&amp;INDEX($F$3:$F$11,MATCH(MIN($T$3:$V$11),U3:U11,0)),""),"")&amp;_xlfn.IFNA(INDEX($E$3:$E$11,MATCH(MIN($T$3:$V$11),V3:V11,0)),"")&amp;IF(_xlfn.IFNA(INDEX($F$3:$F$11,MATCH(MIN($T$3:$V$11),V3:V11,0)),"")&gt;0,_xlfn.IFNA(" + "&amp;INDEX($F$3:$F$11,MATCH(MIN($T$3:$V$11),V3:V11,0)),""),"")&amp;" "&amp;INDEX(T2:V2,_xlfn.IFNA(1*MATCH(MIN($T$3:$V$11),T3:T11,0)/MATCH(MIN($T$3:$V$11),T3:T11,0),0)+_xlfn.IFNA(2*MATCH(MIN($T$3:$V$11),U3:U11,0)/MATCH(MIN($T$3:$V$11),U3:U11,0),0)+_xlfn.IFNA(3*MATCH(MIN($T$3:$V$11),V3:V11,0)/MATCH(MIN($T$3:$V$11),V3:V11,0),0))</f>
        <v>0,75 Traubenzucker</v>
      </c>
      <c r="B12" s="29" t="str">
        <f>_xlfn.IFNA(INDEX($G$3:$G$11,MATCH(MIN($T$3:$V$11),T3:T11,0)),"")&amp;_xlfn.IFNA(INDEX($G$3:$G$11,MATCH(MIN($T$3:$V$11),U3:U11,0)),"")&amp;_xlfn.IFNA(INDEX($G$3:$G$11,MATCH(MIN($T$3:$V$11),V3:V11,0)),"")</f>
        <v>0,75</v>
      </c>
      <c r="D12" s="18"/>
      <c r="E12" s="13"/>
      <c r="F12" s="13"/>
      <c r="G12" s="13"/>
      <c r="H12" s="6"/>
      <c r="I12" s="6"/>
      <c r="J12" s="6"/>
      <c r="X12" s="46" t="s">
        <v>21</v>
      </c>
      <c r="Y12" s="44">
        <v>0.75</v>
      </c>
      <c r="Z12" s="46">
        <v>4.4000000000000004</v>
      </c>
      <c r="AA12" s="58">
        <f>Z12*CO2_Hauhaltszucker</f>
        <v>2.2440000000000002</v>
      </c>
    </row>
    <row r="13" spans="1:30" ht="15.75" customHeight="1" x14ac:dyDescent="0.25">
      <c r="A13" s="11" t="s">
        <v>13</v>
      </c>
      <c r="B13" s="12">
        <f>(_xlfn.IFNA(INDEX($H$3:$H$11,MATCH(MIN($T$3:$V$11),T3:T11,0)),"")&amp;_xlfn.IFNA(INDEX($I$3:$I$11,MATCH(MIN($T$3:$V$11),U3:U11,0)),"")&amp;_xlfn.IFNA(INDEX($J$3:$J$11,MATCH(MIN($T$3:$V$11),V3:V11,0)),""))*1</f>
        <v>5.1178025104979303</v>
      </c>
      <c r="D13" s="19"/>
      <c r="E13" s="14"/>
      <c r="F13" s="14"/>
      <c r="G13" s="14"/>
      <c r="H13" s="7"/>
      <c r="I13" s="7"/>
      <c r="J13" s="7"/>
    </row>
    <row r="14" spans="1:30" ht="15.75" customHeight="1" x14ac:dyDescent="0.25">
      <c r="D14" s="19"/>
      <c r="E14" s="14"/>
      <c r="F14" s="14"/>
      <c r="G14" s="14"/>
      <c r="H14" s="7"/>
      <c r="I14" s="7"/>
      <c r="J14" s="7"/>
    </row>
    <row r="15" spans="1:30" ht="15.75" customHeight="1" x14ac:dyDescent="0.25">
      <c r="D15" s="19"/>
      <c r="E15" s="14"/>
      <c r="F15" s="14"/>
      <c r="G15" s="14"/>
      <c r="H15" s="7"/>
      <c r="I15" s="7"/>
      <c r="J15" s="7"/>
    </row>
    <row r="16" spans="1:30" ht="15.75" customHeight="1" x14ac:dyDescent="0.25">
      <c r="D16" s="19"/>
      <c r="E16" s="14"/>
      <c r="F16" s="14"/>
      <c r="G16" s="14"/>
      <c r="H16" s="7"/>
      <c r="I16" s="7"/>
      <c r="J16" s="7"/>
    </row>
    <row r="17" spans="1:20" ht="15.75" customHeight="1" x14ac:dyDescent="0.25">
      <c r="D17" s="19"/>
      <c r="E17" s="14"/>
      <c r="F17" s="14"/>
      <c r="G17" s="14"/>
      <c r="H17" s="7"/>
      <c r="I17" s="7"/>
      <c r="J17" s="7"/>
    </row>
    <row r="18" spans="1:20" ht="15.75" customHeight="1" x14ac:dyDescent="0.25">
      <c r="D18" s="19"/>
      <c r="E18" s="14"/>
      <c r="F18" s="14"/>
      <c r="G18" s="14"/>
      <c r="H18" s="7"/>
      <c r="I18" s="7"/>
      <c r="J18" s="7"/>
    </row>
    <row r="19" spans="1:20" ht="15.75" customHeight="1" x14ac:dyDescent="0.25">
      <c r="D19" s="28"/>
      <c r="E19" s="2"/>
      <c r="F19" s="14"/>
      <c r="G19" s="14"/>
      <c r="H19" s="7"/>
      <c r="I19" s="7"/>
      <c r="J19" s="7"/>
      <c r="T19" s="28"/>
    </row>
    <row r="20" spans="1:20" ht="15.75" customHeight="1" x14ac:dyDescent="0.25">
      <c r="A20" s="28"/>
      <c r="G20" s="14"/>
    </row>
    <row r="21" spans="1:20" ht="15.75" customHeight="1" x14ac:dyDescent="0.25">
      <c r="G21" s="14"/>
      <c r="T21" s="28"/>
    </row>
    <row r="22" spans="1:20" ht="15.75" customHeight="1" x14ac:dyDescent="0.25">
      <c r="G22" s="14"/>
    </row>
    <row r="23" spans="1:20" ht="15.75" customHeight="1" x14ac:dyDescent="0.25">
      <c r="G23" s="14"/>
    </row>
    <row r="24" spans="1:20" ht="15.75" customHeight="1" x14ac:dyDescent="0.25">
      <c r="G24" s="14"/>
    </row>
    <row r="25" spans="1:20" ht="15.75" customHeight="1" x14ac:dyDescent="0.25">
      <c r="G25" s="14"/>
    </row>
    <row r="26" spans="1:20" ht="15.75" customHeight="1" x14ac:dyDescent="0.25">
      <c r="G26" s="14"/>
    </row>
    <row r="27" spans="1:20" ht="15.75" customHeight="1" x14ac:dyDescent="0.25">
      <c r="G27" s="14"/>
    </row>
    <row r="28" spans="1:20" ht="15.75" customHeight="1" x14ac:dyDescent="0.25">
      <c r="G28" s="14"/>
    </row>
  </sheetData>
  <sortState ref="E9:K18">
    <sortCondition ref="H9:H18"/>
  </sortState>
  <mergeCells count="5">
    <mergeCell ref="D2:D11"/>
    <mergeCell ref="D1:J1"/>
    <mergeCell ref="L1:R1"/>
    <mergeCell ref="L2:L11"/>
    <mergeCell ref="X2:AD2"/>
  </mergeCells>
  <conditionalFormatting sqref="H3:J11 P3:R11">
    <cfRule type="expression" dxfId="8" priority="9">
      <formula>AND($G3=$B$12*1,COUNTIF($A$12,"*"&amp;H$2))</formula>
    </cfRule>
    <cfRule type="expression" dxfId="7" priority="22">
      <formula>COUNTIF($A$12,"*"&amp;H$2)</formula>
    </cfRule>
  </conditionalFormatting>
  <conditionalFormatting sqref="P3:R11">
    <cfRule type="colorScale" priority="7">
      <colorScale>
        <cfvo type="min"/>
        <cfvo type="num" val="0"/>
        <cfvo type="max"/>
        <color rgb="FFC00000"/>
        <color theme="9" tint="0.39997558519241921"/>
        <color rgb="FFC00000"/>
      </colorScale>
    </cfRule>
  </conditionalFormatting>
  <conditionalFormatting sqref="E3:J11 M3:R11">
    <cfRule type="expression" dxfId="6" priority="15">
      <formula>$G3=$B$12*1</formula>
    </cfRule>
  </conditionalFormatting>
  <conditionalFormatting sqref="H3:J11">
    <cfRule type="colorScale" priority="6">
      <colorScale>
        <cfvo type="min"/>
        <cfvo type="num" val="$B$3"/>
        <cfvo type="max"/>
        <color rgb="FFC00000"/>
        <color theme="9" tint="0.39997558519241921"/>
        <color rgb="FFC00000"/>
      </colorScale>
    </cfRule>
  </conditionalFormatting>
  <conditionalFormatting sqref="T3:V11">
    <cfRule type="colorScale" priority="8">
      <colorScale>
        <cfvo type="num" val="0"/>
        <cfvo type="max"/>
        <color theme="9" tint="0.39997558519241921"/>
        <color rgb="FFC00000"/>
      </colorScale>
    </cfRule>
  </conditionalFormatting>
  <conditionalFormatting sqref="H3:H11 P3:P11">
    <cfRule type="expression" dxfId="5" priority="5">
      <formula>ISNUMBER(H3)</formula>
    </cfRule>
  </conditionalFormatting>
  <conditionalFormatting sqref="J3:J11 R3:R11">
    <cfRule type="expression" dxfId="4" priority="4">
      <formula>ISNUMBER(J3)</formula>
    </cfRule>
  </conditionalFormatting>
  <conditionalFormatting sqref="E3:E11 M3:M11">
    <cfRule type="expression" dxfId="3" priority="3">
      <formula>ISNUMBER(E3)</formula>
    </cfRule>
  </conditionalFormatting>
  <conditionalFormatting sqref="E3:F11 M3:N11">
    <cfRule type="expression" dxfId="2" priority="10">
      <formula>$G3=$B$12*1</formula>
    </cfRule>
  </conditionalFormatting>
  <conditionalFormatting sqref="H3:J3 P3:R3">
    <cfRule type="expression" dxfId="1" priority="2">
      <formula>ISNUMBER(H3)</formula>
    </cfRule>
  </conditionalFormatting>
  <conditionalFormatting sqref="H11:J11 P11:R11">
    <cfRule type="expression" dxfId="0" priority="1">
      <formula>ISNUMBER(H11)</formula>
    </cfRule>
  </conditionalFormatting>
  <pageMargins left="0.7" right="0.7" top="0.78740157499999996" bottom="0.78740157499999996" header="0.3" footer="0.3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6</vt:i4>
      </vt:variant>
    </vt:vector>
  </HeadingPairs>
  <TitlesOfParts>
    <vt:vector size="7" baseType="lpstr">
      <vt:lpstr>Ausgabe</vt:lpstr>
      <vt:lpstr>CO2_Gärung</vt:lpstr>
      <vt:lpstr>CO2_Hauhaltszucker</vt:lpstr>
      <vt:lpstr>CO2_Traubenzucker</vt:lpstr>
      <vt:lpstr>CO2_Wunsch</vt:lpstr>
      <vt:lpstr>Flaschengröße</vt:lpstr>
      <vt:lpstr>Gärtemperatur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Dierkes;fctriesel</dc:creator>
  <cp:lastPrinted>2019-05-08T13:38:43Z</cp:lastPrinted>
  <dcterms:created xsi:type="dcterms:W3CDTF">2019-05-06T18:32:07Z</dcterms:created>
  <dcterms:modified xsi:type="dcterms:W3CDTF">2019-05-08T13:46:26Z</dcterms:modified>
</cp:coreProperties>
</file>