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desktop\"/>
    </mc:Choice>
  </mc:AlternateContent>
  <bookViews>
    <workbookView xWindow="0" yWindow="0" windowWidth="28800" windowHeight="13455"/>
  </bookViews>
  <sheets>
    <sheet name="Ausgabe" sheetId="3" r:id="rId1"/>
  </sheets>
  <definedNames>
    <definedName name="CO2_Gärung">Ausgabe!$B$9</definedName>
    <definedName name="CO2_Hauhaltszucker">Ausgabe!$AA$5</definedName>
    <definedName name="CO2_Traubenzucker">Ausgabe!$AA$4</definedName>
    <definedName name="CO2_Wunsch">Ausgabe!$B$3</definedName>
    <definedName name="Flaschengröße">Ausgabe!$B$6</definedName>
    <definedName name="Temperatur_HG">Ausgabe!$B$4</definedName>
    <definedName name="Temperatur_NG">Ausgabe!$B$5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3" l="1"/>
  <c r="B9" i="3"/>
  <c r="B10" i="3" s="1"/>
  <c r="X6" i="3" l="1"/>
  <c r="X5" i="3"/>
  <c r="X4" i="3"/>
  <c r="P2" i="3" l="1"/>
  <c r="G4" i="3" l="1"/>
  <c r="G3" i="3"/>
  <c r="S2" i="3" l="1"/>
  <c r="R2" i="3"/>
  <c r="O2" i="3"/>
  <c r="N11" i="3" l="1"/>
  <c r="N10" i="3"/>
  <c r="N9" i="3"/>
  <c r="N8" i="3"/>
  <c r="N7" i="3"/>
  <c r="N6" i="3"/>
  <c r="N5" i="3"/>
  <c r="N4" i="3"/>
  <c r="N3" i="3"/>
  <c r="G5" i="3" l="1"/>
  <c r="G6" i="3"/>
  <c r="G7" i="3"/>
  <c r="G8" i="3"/>
  <c r="G9" i="3"/>
  <c r="G10" i="3"/>
  <c r="G11" i="3"/>
  <c r="X9" i="3" l="1"/>
  <c r="X8" i="3"/>
  <c r="X7" i="3"/>
  <c r="H3" i="3" l="1"/>
  <c r="O3" i="3" s="1"/>
  <c r="R3" i="3" s="1"/>
  <c r="I3" i="3"/>
  <c r="P3" i="3" s="1"/>
  <c r="S3" i="3" s="1"/>
  <c r="I7" i="3"/>
  <c r="P7" i="3" s="1"/>
  <c r="I11" i="3"/>
  <c r="P11" i="3" s="1"/>
  <c r="S11" i="3" s="1"/>
  <c r="I6" i="3"/>
  <c r="P6" i="3" s="1"/>
  <c r="I10" i="3"/>
  <c r="P10" i="3" s="1"/>
  <c r="S10" i="3" s="1"/>
  <c r="I4" i="3"/>
  <c r="P4" i="3" s="1"/>
  <c r="S4" i="3" s="1"/>
  <c r="I8" i="3"/>
  <c r="P8" i="3" s="1"/>
  <c r="I5" i="3"/>
  <c r="P5" i="3" s="1"/>
  <c r="I9" i="3"/>
  <c r="P9" i="3" s="1"/>
  <c r="S9" i="3" s="1"/>
  <c r="H10" i="3"/>
  <c r="O10" i="3" s="1"/>
  <c r="R10" i="3" s="1"/>
  <c r="H6" i="3"/>
  <c r="O6" i="3" s="1"/>
  <c r="R6" i="3" s="1"/>
  <c r="H4" i="3"/>
  <c r="O4" i="3" s="1"/>
  <c r="R4" i="3" s="1"/>
  <c r="H8" i="3"/>
  <c r="O8" i="3" s="1"/>
  <c r="R8" i="3" s="1"/>
  <c r="H11" i="3"/>
  <c r="O11" i="3" s="1"/>
  <c r="R11" i="3" s="1"/>
  <c r="H9" i="3"/>
  <c r="O9" i="3" s="1"/>
  <c r="R9" i="3" s="1"/>
  <c r="H5" i="3"/>
  <c r="O5" i="3" s="1"/>
  <c r="R5" i="3" s="1"/>
  <c r="H7" i="3"/>
  <c r="O7" i="3" s="1"/>
  <c r="R7" i="3" s="1"/>
  <c r="S6" i="3" l="1"/>
  <c r="S8" i="3"/>
  <c r="S5" i="3"/>
  <c r="B16" i="3" s="1"/>
  <c r="S7" i="3"/>
  <c r="B13" i="3" l="1"/>
  <c r="A13" i="3"/>
</calcChain>
</file>

<file path=xl/sharedStrings.xml><?xml version="1.0" encoding="utf-8"?>
<sst xmlns="http://schemas.openxmlformats.org/spreadsheetml/2006/main" count="37" uniqueCount="27">
  <si>
    <t>Gramm</t>
  </si>
  <si>
    <t>Gramm CO2</t>
  </si>
  <si>
    <t>CO2-Faktor Traubenzucker</t>
  </si>
  <si>
    <t>CO2-Faktor Zucker</t>
  </si>
  <si>
    <t>Dosierhilfe</t>
  </si>
  <si>
    <t>Eingaben:</t>
  </si>
  <si>
    <t>Berechnungen:</t>
  </si>
  <si>
    <r>
      <t>Gewünschter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-Gehalt [g/l]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</si>
  <si>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-Gehalt durch Gärung  [g/l]</t>
    </r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</si>
  <si>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durch Nachkarbonisierung [g/l]</t>
    </r>
  </si>
  <si>
    <t>Flaschengröße [l]</t>
  </si>
  <si>
    <t>Bestmögliche Zugabe:</t>
  </si>
  <si>
    <t>Endkarbonisierung [g/l]</t>
  </si>
  <si>
    <t>Zuckerart</t>
  </si>
  <si>
    <t>Größe</t>
  </si>
  <si>
    <t>Haushaltszucker</t>
  </si>
  <si>
    <t>Traubenzucker</t>
  </si>
  <si>
    <t>Nr.1</t>
  </si>
  <si>
    <t>Nr.2</t>
  </si>
  <si>
    <t>∑</t>
  </si>
  <si>
    <t>Karbonisierung [g/l]</t>
  </si>
  <si>
    <t>Differenz zur Wunschkarbonisierung [g/l]</t>
  </si>
  <si>
    <t>Einstellungen:</t>
  </si>
  <si>
    <t>Ergebnis:</t>
  </si>
  <si>
    <t>max. Temperatur Hauptgärung [°C]</t>
  </si>
  <si>
    <t>aktuelle Temperatur Nachgärung [°C]</t>
  </si>
  <si>
    <t>Spunddruck [bar]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</si>
</sst>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&quot;=&quot;\ 0.00"/>
    <numFmt numFmtId="166" formatCode="0.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4" tint="0.3999755851924192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2" fontId="0" fillId="0" borderId="7" xfId="0" applyNumberFormat="1" applyBorder="1" applyAlignment="1">
      <alignment vertical="center"/>
    </xf>
    <xf numFmtId="2" fontId="0" fillId="0" borderId="0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164" fontId="0" fillId="0" borderId="10" xfId="0" applyNumberFormat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2" fontId="1" fillId="0" borderId="9" xfId="0" applyNumberFormat="1" applyFont="1" applyBorder="1" applyAlignment="1">
      <alignment horizontal="center" vertical="center" textRotation="90"/>
    </xf>
    <xf numFmtId="2" fontId="1" fillId="0" borderId="10" xfId="0" applyNumberFormat="1" applyFont="1" applyBorder="1" applyAlignment="1">
      <alignment horizontal="center" vertical="center" textRotation="90"/>
    </xf>
    <xf numFmtId="0" fontId="4" fillId="0" borderId="7" xfId="0" applyFont="1" applyBorder="1" applyAlignment="1">
      <alignment vertical="center" textRotation="90"/>
    </xf>
    <xf numFmtId="0" fontId="4" fillId="0" borderId="0" xfId="0" applyFont="1" applyBorder="1" applyAlignment="1">
      <alignment vertical="center" textRotation="90"/>
    </xf>
    <xf numFmtId="0" fontId="0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8" xfId="0" applyFont="1" applyFill="1" applyBorder="1" applyAlignment="1"/>
    <xf numFmtId="2" fontId="0" fillId="0" borderId="0" xfId="0" applyNumberFormat="1" applyAlignment="1">
      <alignment vertical="center"/>
    </xf>
    <xf numFmtId="2" fontId="6" fillId="3" borderId="10" xfId="0" applyNumberFormat="1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horizontal="center" vertical="center"/>
    </xf>
    <xf numFmtId="165" fontId="0" fillId="0" borderId="6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right" vertical="center"/>
    </xf>
    <xf numFmtId="2" fontId="0" fillId="0" borderId="2" xfId="0" applyNumberFormat="1" applyBorder="1" applyAlignment="1">
      <alignment horizontal="right" vertical="center"/>
    </xf>
    <xf numFmtId="2" fontId="0" fillId="0" borderId="3" xfId="0" applyNumberFormat="1" applyBorder="1" applyAlignment="1">
      <alignment horizontal="right" vertical="center"/>
    </xf>
    <xf numFmtId="2" fontId="0" fillId="0" borderId="4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2" fontId="0" fillId="0" borderId="6" xfId="0" applyNumberFormat="1" applyBorder="1" applyAlignment="1">
      <alignment horizontal="right" vertical="center"/>
    </xf>
    <xf numFmtId="0" fontId="0" fillId="2" borderId="0" xfId="0" applyFont="1" applyFill="1"/>
    <xf numFmtId="0" fontId="0" fillId="2" borderId="0" xfId="0" applyFill="1"/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4" xfId="0" applyNumberFormat="1" applyBorder="1" applyAlignment="1">
      <alignment vertical="center"/>
    </xf>
    <xf numFmtId="166" fontId="0" fillId="0" borderId="5" xfId="0" applyNumberFormat="1" applyBorder="1" applyAlignment="1">
      <alignment vertical="center"/>
    </xf>
    <xf numFmtId="166" fontId="0" fillId="0" borderId="6" xfId="0" applyNumberFormat="1" applyBorder="1" applyAlignment="1">
      <alignment vertical="center"/>
    </xf>
    <xf numFmtId="2" fontId="0" fillId="0" borderId="0" xfId="0" applyNumberFormat="1"/>
    <xf numFmtId="0" fontId="7" fillId="0" borderId="3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4" borderId="9" xfId="0" applyFont="1" applyFill="1" applyBorder="1" applyAlignment="1">
      <alignment vertical="center"/>
    </xf>
    <xf numFmtId="2" fontId="1" fillId="4" borderId="10" xfId="0" applyNumberFormat="1" applyFont="1" applyFill="1" applyBorder="1" applyAlignment="1">
      <alignment vertical="center"/>
    </xf>
  </cellXfs>
  <cellStyles count="1">
    <cellStyle name="Standard" xfId="0" builtinId="0"/>
  </cellStyles>
  <dxfs count="9">
    <dxf>
      <font>
        <b/>
        <i val="0"/>
      </font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7"/>
  <sheetViews>
    <sheetView tabSelected="1" workbookViewId="0">
      <selection activeCell="H15" sqref="H15"/>
    </sheetView>
  </sheetViews>
  <sheetFormatPr baseColWidth="10" defaultColWidth="5" defaultRowHeight="15.75" customHeight="1" x14ac:dyDescent="0.25"/>
  <cols>
    <col min="1" max="1" width="34.28515625" style="2" bestFit="1" customWidth="1"/>
    <col min="2" max="2" width="6" style="2" bestFit="1" customWidth="1"/>
    <col min="3" max="4" width="5.7109375" style="2" customWidth="1"/>
    <col min="5" max="7" width="5.7109375" style="3" customWidth="1"/>
    <col min="8" max="16" width="5.7109375" style="2" customWidth="1"/>
    <col min="17" max="17" width="5" style="2" customWidth="1"/>
    <col min="18" max="19" width="9.5703125" style="2" hidden="1" customWidth="1"/>
    <col min="20" max="20" width="5" style="2" customWidth="1"/>
    <col min="21" max="21" width="15.28515625" style="2" bestFit="1" customWidth="1"/>
    <col min="22" max="22" width="6.5703125" style="2" bestFit="1" customWidth="1"/>
    <col min="23" max="23" width="7.5703125" style="2" bestFit="1" customWidth="1"/>
    <col min="24" max="24" width="11.5703125" style="2" bestFit="1" customWidth="1"/>
    <col min="25" max="25" width="5" style="2"/>
    <col min="26" max="26" width="24.5703125" style="2" bestFit="1" customWidth="1"/>
    <col min="27" max="16384" width="5" style="2"/>
  </cols>
  <sheetData>
    <row r="1" spans="1:27" ht="15.75" customHeight="1" x14ac:dyDescent="0.25">
      <c r="D1" s="52" t="s">
        <v>20</v>
      </c>
      <c r="E1" s="53"/>
      <c r="F1" s="53"/>
      <c r="G1" s="53"/>
      <c r="H1" s="53"/>
      <c r="I1" s="54"/>
      <c r="K1" s="52" t="s">
        <v>21</v>
      </c>
      <c r="L1" s="53"/>
      <c r="M1" s="53"/>
      <c r="N1" s="53"/>
      <c r="O1" s="53"/>
      <c r="P1" s="54"/>
    </row>
    <row r="2" spans="1:27" ht="80.25" x14ac:dyDescent="0.25">
      <c r="A2" s="24" t="s">
        <v>5</v>
      </c>
      <c r="B2" s="3"/>
      <c r="D2" s="50" t="s">
        <v>4</v>
      </c>
      <c r="E2" s="41" t="s">
        <v>17</v>
      </c>
      <c r="F2" s="29" t="s">
        <v>18</v>
      </c>
      <c r="G2" s="28" t="s">
        <v>19</v>
      </c>
      <c r="H2" s="14" t="s">
        <v>15</v>
      </c>
      <c r="I2" s="15" t="s">
        <v>16</v>
      </c>
      <c r="K2" s="50" t="s">
        <v>4</v>
      </c>
      <c r="L2" s="42" t="s">
        <v>17</v>
      </c>
      <c r="M2" s="29" t="s">
        <v>18</v>
      </c>
      <c r="N2" s="28" t="s">
        <v>19</v>
      </c>
      <c r="O2" s="14" t="str">
        <f>H2</f>
        <v>Haushaltszucker</v>
      </c>
      <c r="P2" s="15" t="str">
        <f>I2</f>
        <v>Traubenzucker</v>
      </c>
      <c r="R2" s="14" t="str">
        <f>H2</f>
        <v>Haushaltszucker</v>
      </c>
      <c r="S2" s="15" t="str">
        <f>I2</f>
        <v>Traubenzucker</v>
      </c>
      <c r="U2" s="55" t="s">
        <v>22</v>
      </c>
      <c r="V2" s="55"/>
      <c r="W2" s="55"/>
      <c r="X2" s="55"/>
      <c r="Y2" s="55"/>
      <c r="Z2" s="55"/>
      <c r="AA2" s="55"/>
    </row>
    <row r="3" spans="1:27" ht="15.75" customHeight="1" x14ac:dyDescent="0.25">
      <c r="A3" s="4" t="s">
        <v>7</v>
      </c>
      <c r="B3" s="5">
        <v>5</v>
      </c>
      <c r="D3" s="50"/>
      <c r="E3" s="18">
        <v>0.33</v>
      </c>
      <c r="F3" s="19"/>
      <c r="G3" s="30">
        <f>E3+F3</f>
        <v>0.33</v>
      </c>
      <c r="H3" s="33">
        <f t="shared" ref="H3:I11" si="0">CO2_Gärung+(SUMPRODUCT((($U$4:$U$12=H$2)*$V$4:$V$12=$E3)*($X$4:$X$12))/Flaschengröße)+IF($F3&gt;0,(SUMPRODUCT((($U$4:$U$12=H$2)*$V$4:$V$12=$F3)*($X$4:$X$12))/Flaschengröße),0)</f>
        <v>4.3127655053030338</v>
      </c>
      <c r="I3" s="34">
        <f t="shared" si="0"/>
        <v>3.4347655053030337</v>
      </c>
      <c r="K3" s="50"/>
      <c r="L3" s="18">
        <v>0.33</v>
      </c>
      <c r="M3" s="19"/>
      <c r="N3" s="30">
        <f>L3+M3</f>
        <v>0.33</v>
      </c>
      <c r="O3" s="33">
        <f t="shared" ref="O3:O11" si="1">H3-CO2_Wunsch</f>
        <v>-0.68723449469696618</v>
      </c>
      <c r="P3" s="34">
        <f t="shared" ref="P3:P11" si="2">I3-CO2_Wunsch</f>
        <v>-1.5652344946969663</v>
      </c>
      <c r="R3" s="43">
        <f>IF(O3&lt;0,O3*-1,O3)</f>
        <v>0.68723449469696618</v>
      </c>
      <c r="S3" s="44">
        <f t="shared" ref="S3:S11" si="3">IF(P3&lt;0,P3*-1,P3)</f>
        <v>1.5652344946969663</v>
      </c>
      <c r="U3" s="1" t="s">
        <v>13</v>
      </c>
      <c r="V3" s="1" t="s">
        <v>14</v>
      </c>
      <c r="W3" s="1" t="s">
        <v>0</v>
      </c>
      <c r="X3" s="1" t="s">
        <v>1</v>
      </c>
      <c r="Y3"/>
    </row>
    <row r="4" spans="1:27" ht="15.75" customHeight="1" x14ac:dyDescent="0.25">
      <c r="A4" s="4" t="s">
        <v>24</v>
      </c>
      <c r="B4" s="5">
        <v>18</v>
      </c>
      <c r="D4" s="50"/>
      <c r="E4" s="20">
        <v>0.5</v>
      </c>
      <c r="F4" s="21"/>
      <c r="G4" s="31">
        <f>E4+F4</f>
        <v>0.5</v>
      </c>
      <c r="H4" s="35">
        <f t="shared" si="0"/>
        <v>5.6387655053030334</v>
      </c>
      <c r="I4" s="36">
        <f t="shared" si="0"/>
        <v>4.4027655053030337</v>
      </c>
      <c r="K4" s="50"/>
      <c r="L4" s="20">
        <v>0.5</v>
      </c>
      <c r="M4" s="21"/>
      <c r="N4" s="31">
        <f t="shared" ref="N4:N11" si="4">L4+M4</f>
        <v>0.5</v>
      </c>
      <c r="O4" s="35">
        <f t="shared" si="1"/>
        <v>0.63876550530303344</v>
      </c>
      <c r="P4" s="36">
        <f t="shared" si="2"/>
        <v>-0.59723449469696632</v>
      </c>
      <c r="R4" s="45">
        <f t="shared" ref="R4:R11" si="5">IF(O4&lt;0,O4*-1,O4)</f>
        <v>0.63876550530303344</v>
      </c>
      <c r="S4" s="46">
        <f t="shared" si="3"/>
        <v>0.59723449469696632</v>
      </c>
      <c r="U4" s="39" t="s">
        <v>15</v>
      </c>
      <c r="V4" s="39">
        <v>0.33</v>
      </c>
      <c r="W4" s="40">
        <v>2.5</v>
      </c>
      <c r="X4" s="49">
        <f>W4*CO2_Hauhaltszucker</f>
        <v>1.2749999999999999</v>
      </c>
      <c r="Y4"/>
      <c r="Z4" t="s">
        <v>2</v>
      </c>
      <c r="AA4" s="40">
        <v>0.44</v>
      </c>
    </row>
    <row r="5" spans="1:27" ht="15.75" customHeight="1" x14ac:dyDescent="0.25">
      <c r="A5" s="4" t="s">
        <v>25</v>
      </c>
      <c r="B5" s="5">
        <v>22</v>
      </c>
      <c r="D5" s="50"/>
      <c r="E5" s="20">
        <v>0.33</v>
      </c>
      <c r="F5" s="21">
        <v>0.33</v>
      </c>
      <c r="G5" s="31">
        <f t="shared" ref="G5:G11" si="6">E5+F5</f>
        <v>0.66</v>
      </c>
      <c r="H5" s="35">
        <f t="shared" si="0"/>
        <v>6.8627655053030336</v>
      </c>
      <c r="I5" s="36">
        <f t="shared" si="0"/>
        <v>5.1067655053030334</v>
      </c>
      <c r="K5" s="50"/>
      <c r="L5" s="20">
        <v>0.33</v>
      </c>
      <c r="M5" s="21">
        <v>0.33</v>
      </c>
      <c r="N5" s="31">
        <f t="shared" si="4"/>
        <v>0.66</v>
      </c>
      <c r="O5" s="35">
        <f t="shared" si="1"/>
        <v>1.8627655053030336</v>
      </c>
      <c r="P5" s="36">
        <f t="shared" si="2"/>
        <v>0.10676550530303341</v>
      </c>
      <c r="R5" s="45">
        <f t="shared" si="5"/>
        <v>1.8627655053030336</v>
      </c>
      <c r="S5" s="46">
        <f t="shared" si="3"/>
        <v>0.10676550530303341</v>
      </c>
      <c r="U5" s="39" t="s">
        <v>15</v>
      </c>
      <c r="V5" s="39">
        <v>0.5</v>
      </c>
      <c r="W5" s="40">
        <v>3.8</v>
      </c>
      <c r="X5" s="49">
        <f>W5*CO2_Hauhaltszucker</f>
        <v>1.9379999999999999</v>
      </c>
      <c r="Y5"/>
      <c r="Z5" t="s">
        <v>3</v>
      </c>
      <c r="AA5" s="40">
        <v>0.51</v>
      </c>
    </row>
    <row r="6" spans="1:27" ht="15.75" customHeight="1" x14ac:dyDescent="0.25">
      <c r="A6" s="4" t="s">
        <v>10</v>
      </c>
      <c r="B6" s="5">
        <v>0.5</v>
      </c>
      <c r="D6" s="50"/>
      <c r="E6" s="20">
        <v>0.75</v>
      </c>
      <c r="F6" s="21"/>
      <c r="G6" s="31">
        <f t="shared" si="6"/>
        <v>0.75</v>
      </c>
      <c r="H6" s="35">
        <f t="shared" si="0"/>
        <v>7.5767655053030332</v>
      </c>
      <c r="I6" s="36">
        <f t="shared" si="0"/>
        <v>5.6347655053030339</v>
      </c>
      <c r="K6" s="50"/>
      <c r="L6" s="20">
        <v>0.75</v>
      </c>
      <c r="M6" s="21"/>
      <c r="N6" s="31">
        <f t="shared" si="4"/>
        <v>0.75</v>
      </c>
      <c r="O6" s="35">
        <f t="shared" si="1"/>
        <v>2.5767655053030332</v>
      </c>
      <c r="P6" s="36">
        <f t="shared" si="2"/>
        <v>0.63476550530303388</v>
      </c>
      <c r="R6" s="45">
        <f t="shared" si="5"/>
        <v>2.5767655053030332</v>
      </c>
      <c r="S6" s="46">
        <f t="shared" si="3"/>
        <v>0.63476550530303388</v>
      </c>
      <c r="U6" s="39" t="s">
        <v>15</v>
      </c>
      <c r="V6" s="39">
        <v>0.75</v>
      </c>
      <c r="W6" s="40">
        <v>5.7</v>
      </c>
      <c r="X6" s="49">
        <f>W6*CO2_Hauhaltszucker</f>
        <v>2.907</v>
      </c>
      <c r="Y6"/>
      <c r="Z6"/>
      <c r="AA6"/>
    </row>
    <row r="7" spans="1:27" ht="15.75" customHeight="1" x14ac:dyDescent="0.25">
      <c r="D7" s="50"/>
      <c r="E7" s="20">
        <v>0.33</v>
      </c>
      <c r="F7" s="21">
        <v>0.5</v>
      </c>
      <c r="G7" s="31">
        <f t="shared" si="6"/>
        <v>0.83000000000000007</v>
      </c>
      <c r="H7" s="35">
        <f t="shared" si="0"/>
        <v>8.1887655053030333</v>
      </c>
      <c r="I7" s="36">
        <f t="shared" si="0"/>
        <v>6.0747655053030343</v>
      </c>
      <c r="K7" s="50"/>
      <c r="L7" s="20">
        <v>0.33</v>
      </c>
      <c r="M7" s="21">
        <v>0.5</v>
      </c>
      <c r="N7" s="31">
        <f t="shared" si="4"/>
        <v>0.83000000000000007</v>
      </c>
      <c r="O7" s="35">
        <f t="shared" si="1"/>
        <v>3.1887655053030333</v>
      </c>
      <c r="P7" s="36">
        <f t="shared" si="2"/>
        <v>1.0747655053030343</v>
      </c>
      <c r="R7" s="45">
        <f t="shared" si="5"/>
        <v>3.1887655053030333</v>
      </c>
      <c r="S7" s="46">
        <f t="shared" si="3"/>
        <v>1.0747655053030343</v>
      </c>
      <c r="U7" s="39" t="s">
        <v>16</v>
      </c>
      <c r="V7" s="39">
        <v>0.33</v>
      </c>
      <c r="W7" s="40">
        <v>1.9</v>
      </c>
      <c r="X7" s="49">
        <f>W7*CO2_Traubenzucker</f>
        <v>0.83599999999999997</v>
      </c>
      <c r="Y7"/>
      <c r="Z7"/>
      <c r="AA7"/>
    </row>
    <row r="8" spans="1:27" ht="15.75" customHeight="1" x14ac:dyDescent="0.25">
      <c r="A8" s="24" t="s">
        <v>6</v>
      </c>
      <c r="D8" s="50"/>
      <c r="E8" s="20">
        <v>0.5</v>
      </c>
      <c r="F8" s="21">
        <v>0.5</v>
      </c>
      <c r="G8" s="31">
        <f t="shared" si="6"/>
        <v>1</v>
      </c>
      <c r="H8" s="35">
        <f t="shared" si="0"/>
        <v>9.5147655053030338</v>
      </c>
      <c r="I8" s="36">
        <f t="shared" si="0"/>
        <v>7.0427655053030342</v>
      </c>
      <c r="K8" s="50"/>
      <c r="L8" s="20">
        <v>0.5</v>
      </c>
      <c r="M8" s="21">
        <v>0.5</v>
      </c>
      <c r="N8" s="31">
        <f t="shared" si="4"/>
        <v>1</v>
      </c>
      <c r="O8" s="35">
        <f t="shared" si="1"/>
        <v>4.5147655053030338</v>
      </c>
      <c r="P8" s="36">
        <f t="shared" si="2"/>
        <v>2.0427655053030342</v>
      </c>
      <c r="R8" s="45">
        <f t="shared" si="5"/>
        <v>4.5147655053030338</v>
      </c>
      <c r="S8" s="46">
        <f t="shared" si="3"/>
        <v>2.0427655053030342</v>
      </c>
      <c r="U8" s="39" t="s">
        <v>16</v>
      </c>
      <c r="V8" s="39">
        <v>0.5</v>
      </c>
      <c r="W8" s="40">
        <v>3</v>
      </c>
      <c r="X8" s="49">
        <f>W8*CO2_Traubenzucker</f>
        <v>1.32</v>
      </c>
      <c r="Y8"/>
      <c r="Z8"/>
      <c r="AA8"/>
    </row>
    <row r="9" spans="1:27" ht="15.75" customHeight="1" x14ac:dyDescent="0.25">
      <c r="A9" s="8" t="s">
        <v>8</v>
      </c>
      <c r="B9" s="9">
        <f>10.13 * POWER(EXP(1), -10.73797 + (2617.25 / (Temperatur_HG + 273.15)))</f>
        <v>1.7627655053030336</v>
      </c>
      <c r="D9" s="50"/>
      <c r="E9" s="20">
        <v>0.33</v>
      </c>
      <c r="F9" s="21">
        <v>0.75</v>
      </c>
      <c r="G9" s="31">
        <f t="shared" si="6"/>
        <v>1.08</v>
      </c>
      <c r="H9" s="35">
        <f t="shared" si="0"/>
        <v>10.126765505303034</v>
      </c>
      <c r="I9" s="36">
        <f t="shared" si="0"/>
        <v>7.3067655053030336</v>
      </c>
      <c r="K9" s="50"/>
      <c r="L9" s="20">
        <v>0.33</v>
      </c>
      <c r="M9" s="21">
        <v>0.75</v>
      </c>
      <c r="N9" s="31">
        <f t="shared" si="4"/>
        <v>1.08</v>
      </c>
      <c r="O9" s="35">
        <f t="shared" si="1"/>
        <v>5.1267655053030339</v>
      </c>
      <c r="P9" s="36">
        <f t="shared" si="2"/>
        <v>2.3067655053030336</v>
      </c>
      <c r="R9" s="45">
        <f t="shared" si="5"/>
        <v>5.1267655053030339</v>
      </c>
      <c r="S9" s="46">
        <f t="shared" si="3"/>
        <v>2.3067655053030336</v>
      </c>
      <c r="U9" s="39" t="s">
        <v>16</v>
      </c>
      <c r="V9" s="39">
        <v>0.75</v>
      </c>
      <c r="W9" s="40">
        <v>4.4000000000000004</v>
      </c>
      <c r="X9" s="49">
        <f>W9*CO2_Traubenzucker</f>
        <v>1.9360000000000002</v>
      </c>
    </row>
    <row r="10" spans="1:27" ht="15.75" customHeight="1" x14ac:dyDescent="0.25">
      <c r="A10" s="8" t="s">
        <v>9</v>
      </c>
      <c r="B10" s="9">
        <f>CO2_Wunsch-CO2_Gärung</f>
        <v>3.2372344946969664</v>
      </c>
      <c r="D10" s="50"/>
      <c r="E10" s="20">
        <v>0.5</v>
      </c>
      <c r="F10" s="21">
        <v>0.75</v>
      </c>
      <c r="G10" s="31">
        <f t="shared" si="6"/>
        <v>1.25</v>
      </c>
      <c r="H10" s="35">
        <f t="shared" si="0"/>
        <v>11.452765505303034</v>
      </c>
      <c r="I10" s="36">
        <f t="shared" si="0"/>
        <v>8.2747655053030336</v>
      </c>
      <c r="K10" s="50"/>
      <c r="L10" s="20">
        <v>0.5</v>
      </c>
      <c r="M10" s="21">
        <v>0.75</v>
      </c>
      <c r="N10" s="31">
        <f t="shared" si="4"/>
        <v>1.25</v>
      </c>
      <c r="O10" s="35">
        <f t="shared" si="1"/>
        <v>6.4527655053030344</v>
      </c>
      <c r="P10" s="36">
        <f t="shared" si="2"/>
        <v>3.2747655053030336</v>
      </c>
      <c r="R10" s="45">
        <f t="shared" si="5"/>
        <v>6.4527655053030344</v>
      </c>
      <c r="S10" s="46">
        <f t="shared" si="3"/>
        <v>3.2747655053030336</v>
      </c>
    </row>
    <row r="11" spans="1:27" ht="15.75" customHeight="1" x14ac:dyDescent="0.25">
      <c r="D11" s="51"/>
      <c r="E11" s="22">
        <v>0.75</v>
      </c>
      <c r="F11" s="23">
        <v>0.75</v>
      </c>
      <c r="G11" s="32">
        <f t="shared" si="6"/>
        <v>1.5</v>
      </c>
      <c r="H11" s="37">
        <f t="shared" si="0"/>
        <v>13.390765505303033</v>
      </c>
      <c r="I11" s="38">
        <f t="shared" si="0"/>
        <v>9.5067655053030347</v>
      </c>
      <c r="K11" s="51"/>
      <c r="L11" s="22">
        <v>0.75</v>
      </c>
      <c r="M11" s="23">
        <v>0.75</v>
      </c>
      <c r="N11" s="32">
        <f t="shared" si="4"/>
        <v>1.5</v>
      </c>
      <c r="O11" s="37">
        <f t="shared" si="1"/>
        <v>8.3907655053030332</v>
      </c>
      <c r="P11" s="38">
        <f t="shared" si="2"/>
        <v>4.5067655053030347</v>
      </c>
      <c r="R11" s="47">
        <f t="shared" si="5"/>
        <v>8.3907655053030332</v>
      </c>
      <c r="S11" s="48">
        <f t="shared" si="3"/>
        <v>4.5067655053030347</v>
      </c>
    </row>
    <row r="12" spans="1:27" ht="15.75" customHeight="1" x14ac:dyDescent="0.25">
      <c r="A12" s="25" t="s">
        <v>11</v>
      </c>
      <c r="B12" s="10"/>
      <c r="D12" s="16"/>
      <c r="E12" s="12"/>
      <c r="F12" s="12"/>
      <c r="G12" s="12"/>
      <c r="H12" s="6"/>
      <c r="I12" s="6"/>
    </row>
    <row r="13" spans="1:27" ht="15.75" customHeight="1" x14ac:dyDescent="0.25">
      <c r="A13" s="11" t="str">
        <f>_xlfn.IFNA(INDEX($E$3:$E$11,MATCH(MIN($R$3:$S$11),R3:R11,0)),"")&amp;IF(_xlfn.IFNA(INDEX($F$3:$F$11,MATCH(MIN($R$3:$S$11),R3:R11,0)),"")&gt;0,_xlfn.IFNA(" + "&amp;INDEX($F$3:$F$11,MATCH(MIN($R$3:$S$11),R3:R11,0)),""),"")&amp;_xlfn.IFNA(INDEX($E$3:$E$11,MATCH(MIN($R$3:$S$11),S3:S11,0)),"")&amp;IF(_xlfn.IFNA(INDEX($F$3:$F$11,MATCH(MIN($R$3:$S$11),S3:S11,0)),"")&gt;0,_xlfn.IFNA(" + "&amp;INDEX($F$3:$F$11,MATCH(MIN($R$3:$S$11),S3:S11,0)),""),"")&amp;" "&amp;INDEX(R2:S2,_xlfn.IFNA(1*MATCH(MIN($R$3:$S$11),R3:R11,0)/MATCH(MIN($R$3:$S$11),R3:R11,0),0)+_xlfn.IFNA(2*MATCH(MIN($R$3:$S$11),S3:S11,0)/MATCH(MIN($R$3:$S$11),S3:S11,0),0))</f>
        <v>0,33 + 0,33 Traubenzucker</v>
      </c>
      <c r="B13" s="27" t="str">
        <f>_xlfn.IFNA(INDEX($G$3:$G$11,MATCH(MIN($R$3:$S$11),R3:R11,0)),"")&amp;_xlfn.IFNA(INDEX($G$3:$G$11,MATCH(MIN($R$3:$S$11),S3:S11,0)),"")</f>
        <v>0,66</v>
      </c>
      <c r="D13" s="17"/>
      <c r="E13" s="13"/>
      <c r="F13" s="13"/>
      <c r="G13" s="13"/>
      <c r="H13" s="7"/>
      <c r="I13" s="7"/>
    </row>
    <row r="14" spans="1:27" ht="15.75" customHeight="1" x14ac:dyDescent="0.25">
      <c r="D14" s="17"/>
      <c r="E14" s="13"/>
      <c r="F14" s="13"/>
      <c r="G14" s="13"/>
      <c r="H14" s="7"/>
      <c r="I14" s="7"/>
    </row>
    <row r="15" spans="1:27" ht="15.75" customHeight="1" x14ac:dyDescent="0.25">
      <c r="A15" s="2" t="s">
        <v>23</v>
      </c>
      <c r="D15" s="17"/>
      <c r="E15" s="13"/>
      <c r="F15" s="13"/>
      <c r="G15" s="13"/>
      <c r="H15" s="7"/>
      <c r="I15" s="7"/>
    </row>
    <row r="16" spans="1:27" ht="15.75" customHeight="1" x14ac:dyDescent="0.25">
      <c r="A16" s="56" t="s">
        <v>12</v>
      </c>
      <c r="B16" s="57">
        <f>(_xlfn.IFNA(INDEX($H$3:$H$11,MATCH(MIN($R$3:$S$11),R3:R11,0)),"")&amp;_xlfn.IFNA(INDEX($I$3:$I$11,MATCH(MIN($R$3:$S$11),S3:S11,0)),""))*1</f>
        <v>5.1067655053030299</v>
      </c>
      <c r="D16" s="17"/>
      <c r="E16" s="13"/>
      <c r="F16" s="13"/>
      <c r="G16" s="13"/>
      <c r="H16" s="7"/>
      <c r="I16" s="7"/>
    </row>
    <row r="17" spans="1:18" ht="15.75" customHeight="1" x14ac:dyDescent="0.25">
      <c r="A17" s="56" t="s">
        <v>26</v>
      </c>
      <c r="B17" s="57">
        <f>B16/(10.13*EXP(-10.73797+(2617.25/(Temperatur_NG+273.15))))-1.013</f>
        <v>2.2593550508474287</v>
      </c>
      <c r="D17" s="17"/>
      <c r="E17" s="13"/>
      <c r="F17" s="13"/>
      <c r="G17" s="13"/>
      <c r="H17" s="7"/>
      <c r="I17" s="7"/>
    </row>
    <row r="18" spans="1:18" ht="15.75" customHeight="1" x14ac:dyDescent="0.25">
      <c r="D18" s="26"/>
      <c r="E18" s="2"/>
      <c r="F18" s="13"/>
      <c r="G18" s="13"/>
      <c r="H18" s="7"/>
      <c r="I18" s="7"/>
      <c r="R18" s="26"/>
    </row>
    <row r="19" spans="1:18" ht="15.75" customHeight="1" x14ac:dyDescent="0.25">
      <c r="G19" s="13"/>
    </row>
    <row r="20" spans="1:18" ht="15.75" customHeight="1" x14ac:dyDescent="0.25">
      <c r="A20" s="26"/>
      <c r="G20" s="13"/>
      <c r="R20" s="26"/>
    </row>
    <row r="21" spans="1:18" ht="15.75" customHeight="1" x14ac:dyDescent="0.25">
      <c r="G21" s="13"/>
    </row>
    <row r="22" spans="1:18" ht="15.75" customHeight="1" x14ac:dyDescent="0.25">
      <c r="G22" s="13"/>
    </row>
    <row r="23" spans="1:18" ht="15.75" customHeight="1" x14ac:dyDescent="0.25">
      <c r="G23" s="13"/>
    </row>
    <row r="24" spans="1:18" ht="15.75" customHeight="1" x14ac:dyDescent="0.25">
      <c r="G24" s="13"/>
    </row>
    <row r="25" spans="1:18" ht="15.75" customHeight="1" x14ac:dyDescent="0.25">
      <c r="G25" s="13"/>
    </row>
    <row r="26" spans="1:18" ht="15.75" customHeight="1" x14ac:dyDescent="0.25">
      <c r="G26" s="13"/>
    </row>
    <row r="27" spans="1:18" ht="15.75" customHeight="1" x14ac:dyDescent="0.25">
      <c r="G27" s="13"/>
    </row>
  </sheetData>
  <sortState ref="E9:K18">
    <sortCondition ref="H9:H18"/>
  </sortState>
  <mergeCells count="5">
    <mergeCell ref="D2:D11"/>
    <mergeCell ref="D1:I1"/>
    <mergeCell ref="K1:P1"/>
    <mergeCell ref="K2:K11"/>
    <mergeCell ref="U2:AA2"/>
  </mergeCells>
  <conditionalFormatting sqref="H3:H11 O3:O11">
    <cfRule type="expression" dxfId="8" priority="5">
      <formula>ISNUMBER(H3)</formula>
    </cfRule>
  </conditionalFormatting>
  <conditionalFormatting sqref="I3:I11 P3:P11">
    <cfRule type="expression" dxfId="7" priority="4">
      <formula>ISNUMBER(I3)</formula>
    </cfRule>
  </conditionalFormatting>
  <conditionalFormatting sqref="E3:E11 L3:L11">
    <cfRule type="expression" dxfId="6" priority="3">
      <formula>ISNUMBER(E3)</formula>
    </cfRule>
  </conditionalFormatting>
  <conditionalFormatting sqref="O3:P3 H3:I3">
    <cfRule type="expression" dxfId="5" priority="2">
      <formula>ISNUMBER(H3)</formula>
    </cfRule>
  </conditionalFormatting>
  <conditionalFormatting sqref="O11:P11 H11:I11">
    <cfRule type="expression" dxfId="4" priority="1">
      <formula>ISNUMBER(H11)</formula>
    </cfRule>
  </conditionalFormatting>
  <conditionalFormatting sqref="R3:S11">
    <cfRule type="colorScale" priority="23">
      <colorScale>
        <cfvo type="num" val="0"/>
        <cfvo type="max"/>
        <color theme="9" tint="0.39997558519241921"/>
        <color rgb="FFC00000"/>
      </colorScale>
    </cfRule>
  </conditionalFormatting>
  <conditionalFormatting sqref="O3:P11">
    <cfRule type="colorScale" priority="28">
      <colorScale>
        <cfvo type="min"/>
        <cfvo type="num" val="0"/>
        <cfvo type="max"/>
        <color rgb="FFC00000"/>
        <color theme="9" tint="0.39997558519241921"/>
        <color rgb="FFC00000"/>
      </colorScale>
    </cfRule>
  </conditionalFormatting>
  <conditionalFormatting sqref="H3:I11">
    <cfRule type="colorScale" priority="37">
      <colorScale>
        <cfvo type="min"/>
        <cfvo type="num" val="$B$3"/>
        <cfvo type="max"/>
        <color rgb="FFC00000"/>
        <color theme="9" tint="0.39997558519241921"/>
        <color rgb="FFC00000"/>
      </colorScale>
    </cfRule>
  </conditionalFormatting>
  <conditionalFormatting sqref="H3:I11 O3:P11">
    <cfRule type="expression" dxfId="3" priority="38">
      <formula>AND($G3=$B$13*1,COUNTIF($A$13,"*"&amp;H$2))</formula>
    </cfRule>
    <cfRule type="expression" dxfId="2" priority="39">
      <formula>COUNTIF($A$13,"*"&amp;H$2)</formula>
    </cfRule>
  </conditionalFormatting>
  <conditionalFormatting sqref="L3:P11 E3:I11">
    <cfRule type="expression" dxfId="1" priority="42">
      <formula>$G3=$B$13*1</formula>
    </cfRule>
  </conditionalFormatting>
  <conditionalFormatting sqref="E3:F11 L3:M11">
    <cfRule type="expression" dxfId="0" priority="44">
      <formula>$G3=$B$13*1</formula>
    </cfRule>
  </conditionalFormatting>
  <pageMargins left="0.7" right="0.7" top="0.78740157499999996" bottom="0.78740157499999996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7</vt:i4>
      </vt:variant>
    </vt:vector>
  </HeadingPairs>
  <TitlesOfParts>
    <vt:vector size="8" baseType="lpstr">
      <vt:lpstr>Ausgabe</vt:lpstr>
      <vt:lpstr>CO2_Gärung</vt:lpstr>
      <vt:lpstr>CO2_Hauhaltszucker</vt:lpstr>
      <vt:lpstr>CO2_Traubenzucker</vt:lpstr>
      <vt:lpstr>CO2_Wunsch</vt:lpstr>
      <vt:lpstr>Flaschengröße</vt:lpstr>
      <vt:lpstr>Temperatur_HG</vt:lpstr>
      <vt:lpstr>Temperatur_NG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Dierkes;fctriesel</dc:creator>
  <cp:lastPrinted>2019-05-08T13:38:43Z</cp:lastPrinted>
  <dcterms:created xsi:type="dcterms:W3CDTF">2019-05-06T18:32:07Z</dcterms:created>
  <dcterms:modified xsi:type="dcterms:W3CDTF">2019-08-23T11:27:56Z</dcterms:modified>
</cp:coreProperties>
</file>