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nutzer\JackFrost\Downloads\"/>
    </mc:Choice>
  </mc:AlternateContent>
  <xr:revisionPtr revIDLastSave="0" documentId="13_ncr:1_{DBCE50C4-914B-42C8-BF1A-D3A36EA6D21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  <sheet name="Tabelle2" sheetId="2" r:id="rId2"/>
  </sheets>
  <calcPr calcId="191029" iterate="1"/>
</workbook>
</file>

<file path=xl/calcChain.xml><?xml version="1.0" encoding="utf-8"?>
<calcChain xmlns="http://schemas.openxmlformats.org/spreadsheetml/2006/main">
  <c r="H12" i="1" l="1"/>
  <c r="K17" i="1" l="1"/>
  <c r="K15" i="1"/>
  <c r="K14" i="1"/>
  <c r="E37" i="1" l="1"/>
  <c r="E35" i="1"/>
  <c r="E34" i="1"/>
  <c r="E36" i="1"/>
  <c r="E33" i="1"/>
  <c r="E31" i="1"/>
  <c r="E30" i="1"/>
  <c r="E29" i="1"/>
  <c r="X17" i="1" l="1"/>
  <c r="X16" i="1"/>
  <c r="L43" i="1" l="1"/>
  <c r="P48" i="1" s="1"/>
  <c r="Q40" i="1"/>
  <c r="Q39" i="1"/>
  <c r="M39" i="1"/>
  <c r="P39" i="1" s="1"/>
  <c r="Q38" i="1"/>
  <c r="Q37" i="1"/>
  <c r="M37" i="1"/>
  <c r="P37" i="1" s="1"/>
  <c r="M34" i="1"/>
  <c r="P34" i="1" s="1"/>
  <c r="M33" i="1"/>
  <c r="P33" i="1" s="1"/>
  <c r="M32" i="1"/>
  <c r="P32" i="1" s="1"/>
  <c r="M31" i="1"/>
  <c r="N31" i="1" s="1"/>
  <c r="M30" i="1"/>
  <c r="P30" i="1" s="1"/>
  <c r="M29" i="1"/>
  <c r="N29" i="1" s="1"/>
  <c r="N34" i="1" l="1"/>
  <c r="P31" i="1"/>
  <c r="M38" i="1"/>
  <c r="N38" i="1" s="1"/>
  <c r="M42" i="1"/>
  <c r="P42" i="1" s="1"/>
  <c r="N48" i="1"/>
  <c r="M40" i="1"/>
  <c r="N32" i="1"/>
  <c r="N30" i="1"/>
  <c r="N37" i="1"/>
  <c r="N39" i="1"/>
  <c r="P29" i="1"/>
  <c r="N42" i="1"/>
  <c r="N33" i="1"/>
  <c r="N40" i="1" l="1"/>
  <c r="N46" i="1" s="1"/>
  <c r="N47" i="1" s="1"/>
  <c r="P40" i="1"/>
  <c r="P35" i="1"/>
  <c r="P38" i="1"/>
  <c r="P43" i="1" s="1"/>
  <c r="M41" i="1"/>
  <c r="P47" i="1" l="1"/>
  <c r="H44" i="1" l="1"/>
  <c r="E44" i="1"/>
  <c r="AA15" i="1" l="1"/>
  <c r="X15" i="1"/>
  <c r="X13" i="1"/>
  <c r="K22" i="1" l="1"/>
  <c r="F44" i="2"/>
  <c r="K20" i="1"/>
  <c r="AA17" i="1" l="1"/>
  <c r="X9" i="1"/>
  <c r="X14" i="1" l="1"/>
  <c r="X12" i="1"/>
  <c r="X8" i="1"/>
  <c r="X7" i="1"/>
  <c r="X6" i="1"/>
  <c r="X5" i="1"/>
  <c r="X4" i="1"/>
  <c r="X3" i="1"/>
  <c r="E12" i="1" l="1"/>
  <c r="AA9" i="1" l="1"/>
  <c r="AA16" i="1"/>
  <c r="AA13" i="1"/>
  <c r="AA12" i="1"/>
  <c r="AA8" i="1"/>
  <c r="AA7" i="1"/>
  <c r="AA6" i="1"/>
  <c r="AA5" i="1"/>
  <c r="AA4" i="1"/>
  <c r="AA14" i="1"/>
  <c r="AA3" i="1"/>
  <c r="H37" i="1" l="1"/>
  <c r="H36" i="1"/>
  <c r="H35" i="1"/>
  <c r="H34" i="1"/>
  <c r="H33" i="1"/>
  <c r="H40" i="1" s="1"/>
  <c r="H31" i="1"/>
  <c r="H30" i="1"/>
  <c r="H42" i="1" s="1"/>
  <c r="H29" i="1"/>
  <c r="E8" i="1"/>
  <c r="E40" i="1"/>
  <c r="E42" i="1"/>
  <c r="B35" i="1"/>
  <c r="B34" i="1"/>
  <c r="B33" i="1"/>
  <c r="B42" i="1" s="1"/>
  <c r="B32" i="1"/>
  <c r="B31" i="1"/>
  <c r="B27" i="1" s="1"/>
  <c r="B29" i="1"/>
  <c r="B28" i="1"/>
  <c r="B40" i="1" s="1"/>
  <c r="B19" i="1"/>
  <c r="B17" i="1"/>
  <c r="B16" i="1"/>
  <c r="B15" i="1"/>
  <c r="B14" i="1"/>
  <c r="B20" i="1" l="1"/>
  <c r="B18" i="1"/>
  <c r="N12" i="1"/>
  <c r="H8" i="1"/>
  <c r="H15" i="1" s="1"/>
  <c r="N8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B43" i="1" s="1"/>
  <c r="N5" i="1" l="1"/>
  <c r="N17" i="1" s="1"/>
  <c r="N19" i="1"/>
  <c r="N15" i="1"/>
  <c r="H19" i="1"/>
  <c r="E41" i="1"/>
  <c r="E45" i="1" s="1"/>
  <c r="E39" i="1"/>
  <c r="E43" i="1" s="1"/>
  <c r="B41" i="1"/>
  <c r="H4" i="1"/>
  <c r="H39" i="1"/>
  <c r="H43" i="1" s="1"/>
  <c r="H41" i="1"/>
  <c r="H45" i="1" s="1"/>
  <c r="H14" i="1" l="1"/>
  <c r="H18" i="1" s="1"/>
  <c r="N4" i="1"/>
  <c r="H16" i="1"/>
  <c r="H20" i="1" s="1"/>
  <c r="N14" i="1" l="1"/>
  <c r="N18" i="1" s="1"/>
  <c r="N16" i="1"/>
  <c r="N20" i="1" s="1"/>
  <c r="N49" i="1" l="1"/>
  <c r="P49" i="1"/>
</calcChain>
</file>

<file path=xl/sharedStrings.xml><?xml version="1.0" encoding="utf-8"?>
<sst xmlns="http://schemas.openxmlformats.org/spreadsheetml/2006/main" count="343" uniqueCount="145">
  <si>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</si>
  <si>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</si>
  <si>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</si>
  <si>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</si>
  <si>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</si>
  <si>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</si>
  <si>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</si>
  <si>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</si>
  <si>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</si>
  <si>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</si>
  <si>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</si>
  <si>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</si>
  <si>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</si>
  <si>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</si>
  <si>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</si>
  <si>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</si>
  <si>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</si>
  <si>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</si>
  <si>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</si>
  <si>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</si>
  <si>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</si>
  <si>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</si>
  <si>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</si>
  <si>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</si>
  <si>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</si>
  <si>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</si>
  <si>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</si>
  <si>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</si>
  <si>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</si>
  <si>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</si>
  <si>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</si>
  <si>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</si>
  <si>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</si>
  <si>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</si>
  <si>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</si>
  <si>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</si>
  <si>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</si>
  <si>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</si>
  <si>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</si>
  <si>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</si>
  <si>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</si>
  <si>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</si>
  <si>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</si>
  <si>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</si>
  <si>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</si>
  <si>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</si>
  <si>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</si>
  <si>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</si>
  <si>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</si>
  <si>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</si>
  <si>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</si>
  <si>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</si>
  <si>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</si>
  <si>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</si>
  <si>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</si>
  <si>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</si>
  <si>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</si>
  <si>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</si>
  <si>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</si>
  <si>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</si>
  <si>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</si>
  <si>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</si>
  <si>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</si>
  <si>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Weizenbier, Weizenbock</t>
  </si>
  <si>
    <t>Carbonathärte</t>
  </si>
  <si>
    <t>Schwefelsäure (10%)</t>
  </si>
  <si>
    <t>Wit, Cream Ale, Kölsch</t>
  </si>
  <si>
    <t>Ca-Härte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</si>
  <si>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</si>
  <si>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</si>
  <si>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</si>
  <si>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</si>
  <si>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</si>
  <si>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</si>
  <si>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</si>
  <si>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</si>
  <si>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</si>
  <si>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</si>
  <si>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</si>
  <si>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</si>
  <si>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</si>
  <si>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</si>
  <si>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</si>
  <si>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</si>
  <si>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</si>
  <si>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</si>
  <si>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</si>
  <si>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</si>
  <si>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</si>
  <si>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</si>
  <si>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</si>
  <si>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</si>
  <si>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</si>
  <si>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</si>
  <si>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</si>
  <si>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</si>
  <si>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</si>
  <si>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Abscheidegrad</t>
  </si>
  <si>
    <t>Malze</t>
  </si>
  <si>
    <t>EBC</t>
  </si>
  <si>
    <t>Normale Malze</t>
  </si>
  <si>
    <t>Pilsner</t>
  </si>
  <si>
    <t>Caramalze</t>
  </si>
  <si>
    <t>Röstmalze</t>
  </si>
  <si>
    <t>xx</t>
  </si>
  <si>
    <t>Cara hell</t>
  </si>
  <si>
    <t>Cara Aroma</t>
  </si>
  <si>
    <t>pHdw</t>
  </si>
  <si>
    <t xml:space="preserve">Summe </t>
  </si>
  <si>
    <t>pH Maische in VE Wasser</t>
  </si>
  <si>
    <t>pH Maische mit RA</t>
  </si>
  <si>
    <t>Summe</t>
  </si>
  <si>
    <t>Masse [kg]</t>
  </si>
  <si>
    <t>Anteil [%]</t>
  </si>
  <si>
    <t>Hauptguss</t>
  </si>
  <si>
    <t>Nachguss</t>
  </si>
  <si>
    <t>Maischekorrektur</t>
  </si>
  <si>
    <t xml:space="preserve">Phosphorsäure </t>
  </si>
  <si>
    <t>gerechnet als Phosphorsäure (10%)</t>
  </si>
  <si>
    <t>Masse Phosphorsäure [g]</t>
  </si>
  <si>
    <t>Phosphorsäurekonzentration</t>
  </si>
  <si>
    <t>CaCO3</t>
  </si>
  <si>
    <t>Wiener Malz</t>
  </si>
  <si>
    <t>Masse Salzsäure [g]</t>
  </si>
  <si>
    <t>Salzsäurekonzentration</t>
  </si>
  <si>
    <t>gerechnet als Salzsäure (9%)</t>
  </si>
  <si>
    <t>Salzsäure</t>
  </si>
  <si>
    <t>Masse HCl</t>
  </si>
  <si>
    <t>Dichte</t>
  </si>
  <si>
    <t>pHdw_exp</t>
  </si>
  <si>
    <t>pH_dw_exp weighted</t>
  </si>
  <si>
    <t xml:space="preserve">acidiy </t>
  </si>
  <si>
    <t>Münchner I</t>
  </si>
  <si>
    <t>Münchner II</t>
  </si>
  <si>
    <t>Münchner Leicht</t>
  </si>
  <si>
    <t>Weizenmalz</t>
  </si>
  <si>
    <t>Summe Basis Malze</t>
  </si>
  <si>
    <t>Melanoidin</t>
  </si>
  <si>
    <t>Quelle der pH Daten : http://braukaiser.com/documents/effect_of_water_and_grist_on_mash_pH.pdf , Dipl. Ing. Kai Troester</t>
  </si>
  <si>
    <t>Quelle der pH Daten : https://www.maischemalzundmehr.de/index.php?inhaltmitte=exp_maischph , Malz Maische und mehr</t>
  </si>
  <si>
    <t>Entsalzer Typ</t>
  </si>
  <si>
    <t>Mischbett</t>
  </si>
  <si>
    <t>Stark saurer 
Kationentauscher</t>
  </si>
  <si>
    <t>Schwefelsäure für Berechnung</t>
  </si>
  <si>
    <t>0,11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</si>
</sst>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0.0"/>
  </numFmts>
  <fonts count="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  <font>
      <sz val="8"/>
      <name val="Arial"/>
    </font>
  </fonts>
  <fills count="10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97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 wrapText="1"/>
    </xf>
    <xf numFmtId="49" fontId="2" fillId="0" borderId="3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164" fontId="1" fillId="6" borderId="3" xfId="1" applyNumberFormat="1" applyFont="1" applyFill="1" applyBorder="1" applyAlignment="1">
      <alignment horizontal="center" vertical="center"/>
    </xf>
    <xf numFmtId="164" fontId="1" fillId="5" borderId="3" xfId="1" applyNumberFormat="1" applyFont="1" applyFill="1" applyBorder="1" applyAlignment="1">
      <alignment horizontal="center" vertical="center"/>
    </xf>
    <xf numFmtId="2" fontId="5" fillId="5" borderId="0" xfId="0" applyNumberFormat="1" applyFont="1" applyFill="1" applyAlignment="1">
      <alignment horizontal="center"/>
    </xf>
    <xf numFmtId="9" fontId="5" fillId="5" borderId="0" xfId="1" applyFont="1" applyFill="1" applyAlignment="1">
      <alignment horizontal="center"/>
    </xf>
    <xf numFmtId="49" fontId="5" fillId="0" borderId="7" xfId="0" applyNumberFormat="1" applyFont="1" applyBorder="1" applyAlignment="1">
      <alignment horizontal="center"/>
    </xf>
    <xf numFmtId="49" fontId="5" fillId="6" borderId="7" xfId="0" applyNumberFormat="1" applyFont="1" applyFill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49" fontId="0" fillId="0" borderId="7" xfId="0" applyNumberFormat="1" applyFont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5" borderId="7" xfId="0" applyNumberFormat="1" applyFont="1" applyFill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0" borderId="0" xfId="0" applyNumberFormat="1" applyFont="1" applyAlignment="1">
      <alignment horizontal="center"/>
    </xf>
    <xf numFmtId="1" fontId="3" fillId="6" borderId="7" xfId="1" applyNumberFormat="1" applyFont="1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2" fontId="3" fillId="6" borderId="7" xfId="1" applyNumberFormat="1" applyFont="1" applyFill="1" applyBorder="1" applyAlignment="1">
      <alignment horizontal="center"/>
    </xf>
    <xf numFmtId="0" fontId="5" fillId="5" borderId="7" xfId="0" applyNumberFormat="1" applyFont="1" applyFill="1" applyBorder="1" applyAlignment="1">
      <alignment horizontal="center"/>
    </xf>
    <xf numFmtId="166" fontId="5" fillId="5" borderId="7" xfId="0" applyNumberFormat="1" applyFont="1" applyFill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left"/>
    </xf>
    <xf numFmtId="49" fontId="3" fillId="2" borderId="4" xfId="0" applyNumberFormat="1" applyFont="1" applyFill="1" applyBorder="1" applyAlignment="1">
      <alignment horizontal="center"/>
    </xf>
    <xf numFmtId="49" fontId="3" fillId="0" borderId="5" xfId="0" applyNumberFormat="1" applyFont="1" applyBorder="1" applyAlignment="1">
      <alignment horizontal="left"/>
    </xf>
    <xf numFmtId="49" fontId="3" fillId="2" borderId="5" xfId="0" applyNumberFormat="1" applyFont="1" applyFill="1" applyBorder="1" applyAlignment="1">
      <alignment horizontal="center"/>
    </xf>
    <xf numFmtId="49" fontId="3" fillId="6" borderId="7" xfId="0" applyNumberFormat="1" applyFont="1" applyFill="1" applyBorder="1" applyAlignment="1">
      <alignment horizontal="left"/>
    </xf>
    <xf numFmtId="49" fontId="3" fillId="2" borderId="7" xfId="0" applyNumberFormat="1" applyFont="1" applyFill="1" applyBorder="1" applyAlignment="1">
      <alignment horizontal="center"/>
    </xf>
    <xf numFmtId="2" fontId="0" fillId="0" borderId="9" xfId="0" applyNumberFormat="1" applyFont="1" applyBorder="1" applyAlignment="1">
      <alignment horizontal="center" vertical="center" wrapText="1"/>
    </xf>
    <xf numFmtId="165" fontId="0" fillId="0" borderId="9" xfId="0" applyNumberFormat="1" applyFon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2" fillId="0" borderId="7" xfId="0" applyNumberFormat="1" applyFont="1" applyBorder="1" applyAlignment="1">
      <alignment horizontal="center"/>
    </xf>
    <xf numFmtId="9" fontId="5" fillId="5" borderId="7" xfId="1" applyFont="1" applyFill="1" applyBorder="1" applyAlignment="1">
      <alignment horizontal="center"/>
    </xf>
    <xf numFmtId="49" fontId="1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49" fontId="1" fillId="7" borderId="7" xfId="0" applyFont="1" applyFill="1" applyBorder="1" applyAlignment="1">
      <alignment horizontal="center" vertical="center" wrapText="1"/>
    </xf>
    <xf numFmtId="49" fontId="0" fillId="0" borderId="0" xfId="0" applyAlignment="1">
      <alignment horizontal="center"/>
    </xf>
    <xf numFmtId="49" fontId="5" fillId="0" borderId="7" xfId="0" applyFont="1" applyBorder="1" applyAlignment="1">
      <alignment horizontal="center" wrapText="1"/>
    </xf>
    <xf numFmtId="49" fontId="0" fillId="0" borderId="7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49" fontId="2" fillId="0" borderId="7" xfId="0" applyFont="1" applyBorder="1" applyAlignment="1">
      <alignment horizontal="left"/>
    </xf>
    <xf numFmtId="2" fontId="2" fillId="5" borderId="7" xfId="0" applyNumberFormat="1" applyFont="1" applyFill="1" applyBorder="1" applyAlignment="1">
      <alignment horizontal="center"/>
    </xf>
    <xf numFmtId="0" fontId="0" fillId="5" borderId="7" xfId="0" applyNumberFormat="1" applyFill="1" applyBorder="1" applyAlignment="1">
      <alignment horizontal="center"/>
    </xf>
    <xf numFmtId="9" fontId="2" fillId="6" borderId="7" xfId="1" applyFont="1" applyFill="1" applyBorder="1" applyAlignment="1">
      <alignment horizontal="left"/>
    </xf>
    <xf numFmtId="4" fontId="2" fillId="0" borderId="7" xfId="0" applyNumberFormat="1" applyFon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9" fontId="2" fillId="0" borderId="7" xfId="1" applyFont="1" applyBorder="1" applyAlignment="1">
      <alignment horizontal="left"/>
    </xf>
    <xf numFmtId="2" fontId="2" fillId="5" borderId="7" xfId="0" applyNumberFormat="1" applyFont="1" applyFill="1" applyBorder="1" applyAlignment="1">
      <alignment horizontal="left"/>
    </xf>
    <xf numFmtId="2" fontId="2" fillId="0" borderId="7" xfId="0" applyNumberFormat="1" applyFont="1" applyBorder="1" applyAlignment="1">
      <alignment horizontal="left"/>
    </xf>
    <xf numFmtId="49" fontId="7" fillId="0" borderId="6" xfId="0" applyFont="1" applyBorder="1" applyAlignment="1">
      <alignment horizontal="center"/>
    </xf>
    <xf numFmtId="49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0" xfId="0" applyFont="1" applyAlignment="1">
      <alignment horizontal="center"/>
    </xf>
    <xf numFmtId="4" fontId="6" fillId="8" borderId="7" xfId="0" applyNumberFormat="1" applyFont="1" applyFill="1" applyBorder="1" applyAlignment="1">
      <alignment horizontal="center"/>
    </xf>
    <xf numFmtId="49" fontId="5" fillId="0" borderId="0" xfId="0" applyFont="1" applyAlignment="1">
      <alignment horizontal="center"/>
    </xf>
    <xf numFmtId="165" fontId="0" fillId="8" borderId="7" xfId="0" applyNumberFormat="1" applyFill="1" applyBorder="1" applyAlignment="1">
      <alignment horizontal="center"/>
    </xf>
    <xf numFmtId="49" fontId="7" fillId="0" borderId="0" xfId="0" applyFont="1" applyAlignment="1">
      <alignment horizontal="center"/>
    </xf>
    <xf numFmtId="2" fontId="7" fillId="8" borderId="7" xfId="0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49" fontId="4" fillId="3" borderId="6" xfId="0" applyFont="1" applyFill="1" applyBorder="1" applyAlignment="1">
      <alignment horizontal="center"/>
    </xf>
    <xf numFmtId="49" fontId="2" fillId="2" borderId="6" xfId="0" applyFont="1" applyFill="1" applyBorder="1" applyAlignment="1">
      <alignment horizontal="center"/>
    </xf>
    <xf numFmtId="49" fontId="4" fillId="4" borderId="6" xfId="0" applyFont="1" applyFill="1" applyBorder="1" applyAlignment="1">
      <alignment horizontal="center"/>
    </xf>
    <xf numFmtId="49" fontId="1" fillId="9" borderId="7" xfId="0" applyFont="1" applyFill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wrapText="1"/>
    </xf>
    <xf numFmtId="166" fontId="3" fillId="6" borderId="7" xfId="1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0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/>
    </xf>
    <xf numFmtId="2" fontId="1" fillId="5" borderId="4" xfId="0" applyNumberFormat="1" applyFont="1" applyFill="1" applyBorder="1" applyAlignment="1">
      <alignment horizontal="center" vertical="center"/>
    </xf>
    <xf numFmtId="2" fontId="2" fillId="5" borderId="5" xfId="0" applyNumberFormat="1" applyFont="1" applyFill="1" applyBorder="1" applyAlignment="1">
      <alignment horizontal="center"/>
    </xf>
    <xf numFmtId="49" fontId="1" fillId="0" borderId="4" xfId="0" applyNumberFormat="1" applyFont="1" applyBorder="1" applyAlignment="1">
      <alignment horizontal="center" vertical="center" wrapText="1"/>
    </xf>
    <xf numFmtId="164" fontId="1" fillId="5" borderId="4" xfId="1" applyNumberFormat="1" applyFont="1" applyFill="1" applyBorder="1" applyAlignment="1">
      <alignment horizontal="center" vertical="center"/>
    </xf>
    <xf numFmtId="164" fontId="2" fillId="5" borderId="5" xfId="1" applyNumberFormat="1" applyFont="1" applyFill="1" applyBorder="1" applyAlignment="1">
      <alignment horizontal="center"/>
    </xf>
    <xf numFmtId="49" fontId="5" fillId="0" borderId="0" xfId="0" applyFont="1" applyAlignment="1">
      <alignment horizontal="center"/>
    </xf>
    <xf numFmtId="49" fontId="0" fillId="0" borderId="0" xfId="0" applyAlignment="1">
      <alignment horizontal="center"/>
    </xf>
    <xf numFmtId="49" fontId="0" fillId="0" borderId="0" xfId="0" applyNumberFormat="1" applyFont="1" applyAlignment="1">
      <alignment horizontal="center"/>
    </xf>
  </cellXfs>
  <cellStyles count="2">
    <cellStyle name="Prozent" xfId="1" builtinId="5"/>
    <cellStyle name="Standard" xfId="0" builtinId="0"/>
  </cellStyles>
  <dxfs count="98"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0.16372965879265092"/>
                  <c:y val="0.1245833333333333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Tabelle2!$A$1:$A$47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35</c:v>
                </c:pt>
                <c:pt idx="31">
                  <c:v>40</c:v>
                </c:pt>
                <c:pt idx="32">
                  <c:v>45</c:v>
                </c:pt>
                <c:pt idx="33">
                  <c:v>50</c:v>
                </c:pt>
                <c:pt idx="34">
                  <c:v>55</c:v>
                </c:pt>
                <c:pt idx="35">
                  <c:v>60</c:v>
                </c:pt>
                <c:pt idx="36">
                  <c:v>65</c:v>
                </c:pt>
                <c:pt idx="37">
                  <c:v>70</c:v>
                </c:pt>
                <c:pt idx="38">
                  <c:v>75</c:v>
                </c:pt>
                <c:pt idx="39">
                  <c:v>80</c:v>
                </c:pt>
                <c:pt idx="40">
                  <c:v>85</c:v>
                </c:pt>
                <c:pt idx="41">
                  <c:v>90</c:v>
                </c:pt>
                <c:pt idx="42">
                  <c:v>92</c:v>
                </c:pt>
                <c:pt idx="43">
                  <c:v>94</c:v>
                </c:pt>
                <c:pt idx="44">
                  <c:v>96</c:v>
                </c:pt>
                <c:pt idx="45">
                  <c:v>98</c:v>
                </c:pt>
                <c:pt idx="46">
                  <c:v>100</c:v>
                </c:pt>
              </c:numCache>
            </c:numRef>
          </c:xVal>
          <c:yVal>
            <c:numRef>
              <c:f>Tabelle2!$B$1:$B$47</c:f>
              <c:numCache>
                <c:formatCode>General</c:formatCode>
                <c:ptCount val="47"/>
                <c:pt idx="0">
                  <c:v>1.0038</c:v>
                </c:pt>
                <c:pt idx="1">
                  <c:v>1.0092000000000001</c:v>
                </c:pt>
                <c:pt idx="2">
                  <c:v>1.0145999999999999</c:v>
                </c:pt>
                <c:pt idx="3" formatCode="0.00">
                  <c:v>1.02</c:v>
                </c:pt>
                <c:pt idx="4">
                  <c:v>1.0255000000000001</c:v>
                </c:pt>
                <c:pt idx="5">
                  <c:v>1.0308999999999999</c:v>
                </c:pt>
                <c:pt idx="6">
                  <c:v>1.0365</c:v>
                </c:pt>
                <c:pt idx="7">
                  <c:v>1.042</c:v>
                </c:pt>
                <c:pt idx="8">
                  <c:v>1.0476000000000001</c:v>
                </c:pt>
                <c:pt idx="9">
                  <c:v>1.0531999999999999</c:v>
                </c:pt>
                <c:pt idx="10">
                  <c:v>1.0589999999999999</c:v>
                </c:pt>
                <c:pt idx="11">
                  <c:v>1.0647</c:v>
                </c:pt>
                <c:pt idx="12">
                  <c:v>1.0705</c:v>
                </c:pt>
                <c:pt idx="13">
                  <c:v>1.0764</c:v>
                </c:pt>
                <c:pt idx="14">
                  <c:v>1.0824</c:v>
                </c:pt>
                <c:pt idx="15">
                  <c:v>1.0884</c:v>
                </c:pt>
                <c:pt idx="16">
                  <c:v>1.0946</c:v>
                </c:pt>
                <c:pt idx="17">
                  <c:v>1.1008</c:v>
                </c:pt>
                <c:pt idx="18">
                  <c:v>1.1071</c:v>
                </c:pt>
                <c:pt idx="19">
                  <c:v>1.1133999999999999</c:v>
                </c:pt>
                <c:pt idx="20">
                  <c:v>1.1198999999999999</c:v>
                </c:pt>
                <c:pt idx="21">
                  <c:v>1.1263000000000001</c:v>
                </c:pt>
                <c:pt idx="22">
                  <c:v>1.1329</c:v>
                </c:pt>
                <c:pt idx="23">
                  <c:v>1.1395</c:v>
                </c:pt>
                <c:pt idx="24">
                  <c:v>1.1462000000000001</c:v>
                </c:pt>
                <c:pt idx="25">
                  <c:v>1.1529</c:v>
                </c:pt>
                <c:pt idx="26">
                  <c:v>1.1597</c:v>
                </c:pt>
                <c:pt idx="27">
                  <c:v>1.1665000000000001</c:v>
                </c:pt>
                <c:pt idx="28">
                  <c:v>1.1735</c:v>
                </c:pt>
                <c:pt idx="29">
                  <c:v>1.1805000000000001</c:v>
                </c:pt>
                <c:pt idx="30">
                  <c:v>1.216</c:v>
                </c:pt>
                <c:pt idx="31">
                  <c:v>1.254</c:v>
                </c:pt>
                <c:pt idx="32">
                  <c:v>1.2929999999999999</c:v>
                </c:pt>
                <c:pt idx="33">
                  <c:v>1.335</c:v>
                </c:pt>
                <c:pt idx="34">
                  <c:v>1.379</c:v>
                </c:pt>
                <c:pt idx="35">
                  <c:v>1.4259999999999999</c:v>
                </c:pt>
                <c:pt idx="36">
                  <c:v>1.476</c:v>
                </c:pt>
                <c:pt idx="37">
                  <c:v>1.526</c:v>
                </c:pt>
                <c:pt idx="38">
                  <c:v>1.579</c:v>
                </c:pt>
                <c:pt idx="39">
                  <c:v>1.633</c:v>
                </c:pt>
                <c:pt idx="40">
                  <c:v>1.6890000000000001</c:v>
                </c:pt>
                <c:pt idx="41">
                  <c:v>1.746</c:v>
                </c:pt>
                <c:pt idx="42">
                  <c:v>1.77</c:v>
                </c:pt>
                <c:pt idx="43">
                  <c:v>1.794</c:v>
                </c:pt>
                <c:pt idx="44">
                  <c:v>1.819</c:v>
                </c:pt>
                <c:pt idx="45">
                  <c:v>1.8440000000000001</c:v>
                </c:pt>
                <c:pt idx="46">
                  <c:v>1.87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B7-4414-8DCB-A594426CC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239008"/>
        <c:axId val="1454022944"/>
      </c:scatterChart>
      <c:valAx>
        <c:axId val="15952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54022944"/>
        <c:crosses val="autoZero"/>
        <c:crossBetween val="midCat"/>
      </c:valAx>
      <c:valAx>
        <c:axId val="145402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9523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Tabelle2!$E$2:$E$42</c:f>
              <c:numCache>
                <c:formatCode>0.00</c:formatCode>
                <c:ptCount val="41"/>
                <c:pt idx="0">
                  <c:v>0.36</c:v>
                </c:pt>
                <c:pt idx="1">
                  <c:v>1.36</c:v>
                </c:pt>
                <c:pt idx="2">
                  <c:v>2.3639999999999999</c:v>
                </c:pt>
                <c:pt idx="3">
                  <c:v>3.3740000000000001</c:v>
                </c:pt>
                <c:pt idx="4">
                  <c:v>4.3879999999999999</c:v>
                </c:pt>
                <c:pt idx="5">
                  <c:v>5.4080000000000004</c:v>
                </c:pt>
                <c:pt idx="6">
                  <c:v>6.4329999999999998</c:v>
                </c:pt>
                <c:pt idx="7">
                  <c:v>7.4640000000000004</c:v>
                </c:pt>
                <c:pt idx="8">
                  <c:v>8.49</c:v>
                </c:pt>
                <c:pt idx="9">
                  <c:v>9.51</c:v>
                </c:pt>
                <c:pt idx="10">
                  <c:v>10.52</c:v>
                </c:pt>
                <c:pt idx="11">
                  <c:v>11.52</c:v>
                </c:pt>
                <c:pt idx="12">
                  <c:v>12.51</c:v>
                </c:pt>
                <c:pt idx="13">
                  <c:v>13.5</c:v>
                </c:pt>
                <c:pt idx="14">
                  <c:v>14.494999999999999</c:v>
                </c:pt>
                <c:pt idx="15">
                  <c:v>15.484999999999999</c:v>
                </c:pt>
                <c:pt idx="16">
                  <c:v>16.47</c:v>
                </c:pt>
                <c:pt idx="17">
                  <c:v>17.45</c:v>
                </c:pt>
                <c:pt idx="18">
                  <c:v>18.43</c:v>
                </c:pt>
                <c:pt idx="19">
                  <c:v>19.41</c:v>
                </c:pt>
                <c:pt idx="20">
                  <c:v>20.39</c:v>
                </c:pt>
                <c:pt idx="21">
                  <c:v>21.36</c:v>
                </c:pt>
                <c:pt idx="22">
                  <c:v>22.33</c:v>
                </c:pt>
                <c:pt idx="23">
                  <c:v>23.29</c:v>
                </c:pt>
                <c:pt idx="24">
                  <c:v>24.25</c:v>
                </c:pt>
                <c:pt idx="25">
                  <c:v>25.22</c:v>
                </c:pt>
                <c:pt idx="26">
                  <c:v>26.2</c:v>
                </c:pt>
                <c:pt idx="27">
                  <c:v>27.18</c:v>
                </c:pt>
                <c:pt idx="28">
                  <c:v>28.18</c:v>
                </c:pt>
                <c:pt idx="29">
                  <c:v>29.17</c:v>
                </c:pt>
                <c:pt idx="30">
                  <c:v>30.14</c:v>
                </c:pt>
                <c:pt idx="31">
                  <c:v>31.14</c:v>
                </c:pt>
                <c:pt idx="32">
                  <c:v>32.14</c:v>
                </c:pt>
                <c:pt idx="33">
                  <c:v>33.159999999999997</c:v>
                </c:pt>
                <c:pt idx="34">
                  <c:v>34.18</c:v>
                </c:pt>
                <c:pt idx="35">
                  <c:v>35.200000000000003</c:v>
                </c:pt>
                <c:pt idx="36">
                  <c:v>36.229999999999997</c:v>
                </c:pt>
                <c:pt idx="37">
                  <c:v>37.270000000000003</c:v>
                </c:pt>
                <c:pt idx="38">
                  <c:v>38.32</c:v>
                </c:pt>
                <c:pt idx="39">
                  <c:v>39.369999999999997</c:v>
                </c:pt>
                <c:pt idx="40">
                  <c:v>40</c:v>
                </c:pt>
              </c:numCache>
            </c:numRef>
          </c:xVal>
          <c:yVal>
            <c:numRef>
              <c:f>Tabelle2!$F$2:$F$42</c:f>
              <c:numCache>
                <c:formatCode>0.000</c:formatCode>
                <c:ptCount val="41"/>
                <c:pt idx="0">
                  <c:v>1</c:v>
                </c:pt>
                <c:pt idx="1">
                  <c:v>1.0049999999999999</c:v>
                </c:pt>
                <c:pt idx="2">
                  <c:v>1.01</c:v>
                </c:pt>
                <c:pt idx="3">
                  <c:v>1.0149999999999999</c:v>
                </c:pt>
                <c:pt idx="4">
                  <c:v>1.02</c:v>
                </c:pt>
                <c:pt idx="5">
                  <c:v>1.0249999999999999</c:v>
                </c:pt>
                <c:pt idx="6">
                  <c:v>1.03</c:v>
                </c:pt>
                <c:pt idx="7">
                  <c:v>1.0349999999999999</c:v>
                </c:pt>
                <c:pt idx="8">
                  <c:v>1.04</c:v>
                </c:pt>
                <c:pt idx="9">
                  <c:v>1.0449999999999999</c:v>
                </c:pt>
                <c:pt idx="10">
                  <c:v>1.05</c:v>
                </c:pt>
                <c:pt idx="11">
                  <c:v>1.0549999999999999</c:v>
                </c:pt>
                <c:pt idx="12">
                  <c:v>1.06</c:v>
                </c:pt>
                <c:pt idx="13">
                  <c:v>1.0649999999999999</c:v>
                </c:pt>
                <c:pt idx="14">
                  <c:v>1.07</c:v>
                </c:pt>
                <c:pt idx="15">
                  <c:v>1.075</c:v>
                </c:pt>
                <c:pt idx="16">
                  <c:v>1.08</c:v>
                </c:pt>
                <c:pt idx="17">
                  <c:v>1.085</c:v>
                </c:pt>
                <c:pt idx="18">
                  <c:v>1.0900000000000001</c:v>
                </c:pt>
                <c:pt idx="19">
                  <c:v>1.095</c:v>
                </c:pt>
                <c:pt idx="20">
                  <c:v>1.1000000000000001</c:v>
                </c:pt>
                <c:pt idx="21">
                  <c:v>1.105</c:v>
                </c:pt>
                <c:pt idx="22">
                  <c:v>1.1100000000000001</c:v>
                </c:pt>
                <c:pt idx="23">
                  <c:v>1.115</c:v>
                </c:pt>
                <c:pt idx="24">
                  <c:v>1.1200000000000001</c:v>
                </c:pt>
                <c:pt idx="25">
                  <c:v>1.125</c:v>
                </c:pt>
                <c:pt idx="26">
                  <c:v>1.1299999999999999</c:v>
                </c:pt>
                <c:pt idx="27">
                  <c:v>1.135</c:v>
                </c:pt>
                <c:pt idx="28">
                  <c:v>1.1399999999999999</c:v>
                </c:pt>
                <c:pt idx="29">
                  <c:v>1.145</c:v>
                </c:pt>
                <c:pt idx="30">
                  <c:v>1.1499999999999999</c:v>
                </c:pt>
                <c:pt idx="31">
                  <c:v>1.155</c:v>
                </c:pt>
                <c:pt idx="32">
                  <c:v>1.1599999999999999</c:v>
                </c:pt>
                <c:pt idx="33">
                  <c:v>1.165</c:v>
                </c:pt>
                <c:pt idx="34">
                  <c:v>1.17</c:v>
                </c:pt>
                <c:pt idx="35">
                  <c:v>1.175</c:v>
                </c:pt>
                <c:pt idx="36">
                  <c:v>1.18</c:v>
                </c:pt>
                <c:pt idx="37">
                  <c:v>1.1850000000000001</c:v>
                </c:pt>
                <c:pt idx="38">
                  <c:v>1.19</c:v>
                </c:pt>
                <c:pt idx="39">
                  <c:v>1.1950000000000001</c:v>
                </c:pt>
                <c:pt idx="40">
                  <c:v>1.198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AB-4A1D-8D8E-DEB95AC09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0769120"/>
        <c:axId val="2113844240"/>
      </c:scatterChart>
      <c:valAx>
        <c:axId val="1930769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13844240"/>
        <c:crosses val="autoZero"/>
        <c:crossBetween val="midCat"/>
      </c:valAx>
      <c:valAx>
        <c:axId val="211384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30769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284285</xdr:colOff>
      <xdr:row>0</xdr:row>
      <xdr:rowOff>42312</xdr:rowOff>
    </xdr:from>
    <xdr:to>
      <xdr:col>14</xdr:col>
      <xdr:colOff>284285</xdr:colOff>
      <xdr:row>17</xdr:row>
      <xdr:rowOff>33245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1525E66-E08D-433E-B3D0-1EF16F63F6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479226</xdr:colOff>
      <xdr:row>18</xdr:row>
      <xdr:rowOff>122634</xdr:rowOff>
    </xdr:from>
    <xdr:to>
      <xdr:col>12</xdr:col>
      <xdr:colOff>479226</xdr:colOff>
      <xdr:row>35</xdr:row>
      <xdr:rowOff>133350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E7060F71-CE75-4AB0-B960-41BF7C5DB2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zoomScale="85" zoomScaleNormal="85" workbookViewId="0">
      <selection activeCell="N12" sqref="N12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27.85546875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10.42578125" bestFit="1" customWidth="1"/>
    <col min="13" max="13" width="17" bestFit="1" customWidth="1"/>
    <col min="14" max="14" width="12.85546875" customWidth="1"/>
    <col min="15" max="15" width="10.140625" bestFit="1" customWidth="1"/>
    <col min="16" max="16" width="33.7109375" bestFit="1" customWidth="1"/>
    <col min="17" max="17" width="10.5703125" customWidth="1"/>
    <col min="18" max="22" width="8.7109375" customWidth="1"/>
    <col min="23" max="23" width="31" bestFit="1" customWidth="1"/>
    <col min="24" max="24" width="11.140625" bestFit="1" customWidth="1"/>
    <col min="25" max="25" width="8.7109375" customWidth="1"/>
    <col min="26" max="26" width="31" bestFit="1" customWidth="1"/>
    <col min="27" max="27" width="11.140625" bestFit="1" customWidth="1"/>
  </cols>
  <sheetData>
    <row r="1" spans="1:27" ht="12.75" customHeight="1" x14ac:dyDescent="0.2"/>
    <row r="2" spans="1:27" ht="12.75" customHeight="1" x14ac:dyDescent="0.2">
      <c r="A2" s="83" t="s">
        <v>91</v>
      </c>
      <c r="B2" s="84"/>
      <c r="D2" s="87" t="s">
        <v>74</v>
      </c>
      <c r="E2" s="89">
        <v>36</v>
      </c>
      <c r="G2" s="83" t="s">
        <v>95</v>
      </c>
      <c r="H2" s="84"/>
      <c r="J2" s="83" t="s">
        <v>0</v>
      </c>
      <c r="K2" s="84"/>
      <c r="M2" s="83" t="s">
        <v>1</v>
      </c>
      <c r="N2" s="84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  <c r="W2" s="85" t="s">
        <v>114</v>
      </c>
      <c r="X2" s="85"/>
      <c r="Z2" s="85" t="s">
        <v>115</v>
      </c>
      <c r="AA2" s="85"/>
    </row>
    <row r="3" spans="1:27" ht="12.75" customHeight="1" x14ac:dyDescent="0.2">
      <c r="A3" s="1" t="s">
        <v>8</v>
      </c>
      <c r="B3" s="2"/>
      <c r="D3" s="88"/>
      <c r="E3" s="90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W3" s="36" t="s">
        <v>18</v>
      </c>
      <c r="X3" s="35">
        <f>$K4*($E$11/$E$2)</f>
        <v>0</v>
      </c>
      <c r="Z3" s="36" t="s">
        <v>18</v>
      </c>
      <c r="AA3" s="35">
        <f>$K4*($E$12/$E$2)</f>
        <v>0</v>
      </c>
    </row>
    <row r="4" spans="1:27" ht="12.75" customHeight="1" x14ac:dyDescent="0.2">
      <c r="A4" s="3" t="s">
        <v>17</v>
      </c>
      <c r="B4" s="5">
        <v>85.4</v>
      </c>
      <c r="D4" s="91" t="s">
        <v>92</v>
      </c>
      <c r="E4" s="92">
        <v>0</v>
      </c>
      <c r="G4" s="3" t="s">
        <v>17</v>
      </c>
      <c r="H4" s="6">
        <f>H29*$E$4+B27*$E$6+E29*$E$7+B4*$E$8</f>
        <v>0.85400000000000009</v>
      </c>
      <c r="J4" s="2" t="s">
        <v>18</v>
      </c>
      <c r="K4" s="27">
        <v>0</v>
      </c>
      <c r="M4" s="3" t="s">
        <v>17</v>
      </c>
      <c r="N4" s="6">
        <f>H4+(232.78*(K4/E2)+272.6*(K5/E2)+400*(K10/E2))</f>
        <v>0.85400000000000009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  <c r="W4" s="36" t="s">
        <v>24</v>
      </c>
      <c r="X4" s="35">
        <f t="shared" ref="X4:X9" si="0">$K5*($E$11/$E$2)</f>
        <v>0</v>
      </c>
      <c r="Z4" s="36" t="s">
        <v>24</v>
      </c>
      <c r="AA4" s="35">
        <f t="shared" ref="AA4:AA9" si="1">$K5*($E$12/$E$2)</f>
        <v>0</v>
      </c>
    </row>
    <row r="5" spans="1:27" ht="12.75" customHeight="1" x14ac:dyDescent="0.2">
      <c r="A5" s="3" t="s">
        <v>23</v>
      </c>
      <c r="B5" s="6">
        <v>29.9</v>
      </c>
      <c r="D5" s="88"/>
      <c r="E5" s="93"/>
      <c r="G5" s="3" t="s">
        <v>23</v>
      </c>
      <c r="H5" s="6">
        <f t="shared" ref="H5:H12" si="2">H30*$E$4+B28*$E$6+E30*$E$7+B5*$E$8</f>
        <v>0.29899999999999999</v>
      </c>
      <c r="J5" s="2" t="s">
        <v>24</v>
      </c>
      <c r="K5" s="27">
        <v>0</v>
      </c>
      <c r="M5" s="3" t="s">
        <v>23</v>
      </c>
      <c r="N5" s="6">
        <f>H5+K8*(119.53/E2)+K9*(98.59/E2)</f>
        <v>0.29899999999999999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  <c r="W5" s="36" t="s">
        <v>30</v>
      </c>
      <c r="X5" s="35">
        <f t="shared" si="0"/>
        <v>0</v>
      </c>
      <c r="Z5" s="36" t="s">
        <v>30</v>
      </c>
      <c r="AA5" s="35">
        <f t="shared" si="1"/>
        <v>0</v>
      </c>
    </row>
    <row r="6" spans="1:27" ht="12.75" customHeight="1" x14ac:dyDescent="0.2">
      <c r="A6" s="3" t="s">
        <v>29</v>
      </c>
      <c r="B6" s="6">
        <v>14</v>
      </c>
      <c r="D6" s="8" t="s">
        <v>93</v>
      </c>
      <c r="E6" s="19">
        <v>0</v>
      </c>
      <c r="G6" s="3" t="s">
        <v>29</v>
      </c>
      <c r="H6" s="6">
        <f t="shared" si="2"/>
        <v>0.14000000000000001</v>
      </c>
      <c r="J6" s="2" t="s">
        <v>30</v>
      </c>
      <c r="K6" s="27">
        <v>0</v>
      </c>
      <c r="M6" s="3" t="s">
        <v>29</v>
      </c>
      <c r="N6" s="6">
        <f>H6+393.39*(K6/E2)+273.66*(K7/E2)</f>
        <v>0.14000000000000001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  <c r="W6" s="36" t="s">
        <v>36</v>
      </c>
      <c r="X6" s="35">
        <f t="shared" si="0"/>
        <v>0</v>
      </c>
      <c r="Z6" s="36" t="s">
        <v>36</v>
      </c>
      <c r="AA6" s="35">
        <f t="shared" si="1"/>
        <v>0</v>
      </c>
    </row>
    <row r="7" spans="1:27" ht="12.75" customHeight="1" x14ac:dyDescent="0.2">
      <c r="A7" s="1" t="s">
        <v>35</v>
      </c>
      <c r="B7" s="6"/>
      <c r="D7" s="8" t="s">
        <v>94</v>
      </c>
      <c r="E7" s="19">
        <v>1</v>
      </c>
      <c r="G7" s="1" t="s">
        <v>35</v>
      </c>
      <c r="H7" s="6"/>
      <c r="J7" s="2" t="s">
        <v>36</v>
      </c>
      <c r="K7" s="27">
        <v>0</v>
      </c>
      <c r="M7" s="1" t="s">
        <v>35</v>
      </c>
      <c r="N7" s="6"/>
      <c r="P7" s="38" t="s">
        <v>37</v>
      </c>
      <c r="Q7" s="39" t="s">
        <v>38</v>
      </c>
      <c r="R7" s="39" t="s">
        <v>27</v>
      </c>
      <c r="S7" s="39" t="s">
        <v>39</v>
      </c>
      <c r="T7" s="39" t="s">
        <v>40</v>
      </c>
      <c r="U7" s="39" t="s">
        <v>28</v>
      </c>
      <c r="W7" s="36" t="s">
        <v>42</v>
      </c>
      <c r="X7" s="35">
        <f t="shared" si="0"/>
        <v>0</v>
      </c>
      <c r="Z7" s="36" t="s">
        <v>42</v>
      </c>
      <c r="AA7" s="35">
        <f t="shared" si="1"/>
        <v>0</v>
      </c>
    </row>
    <row r="8" spans="1:27" ht="12.75" customHeight="1" x14ac:dyDescent="0.2">
      <c r="A8" s="3" t="s">
        <v>41</v>
      </c>
      <c r="B8" s="6">
        <v>301</v>
      </c>
      <c r="D8" s="8" t="s">
        <v>90</v>
      </c>
      <c r="E8" s="18">
        <f>1-(SUM(E4:E7))</f>
        <v>0</v>
      </c>
      <c r="G8" s="3" t="s">
        <v>41</v>
      </c>
      <c r="H8" s="6">
        <f t="shared" si="2"/>
        <v>3.0100000000000002</v>
      </c>
      <c r="J8" s="2" t="s">
        <v>42</v>
      </c>
      <c r="K8" s="27">
        <v>0</v>
      </c>
      <c r="M8" s="3" t="s">
        <v>41</v>
      </c>
      <c r="N8" s="6">
        <f>(((H15-K13/(3.32*E2/100)-K14/((12.4/0.9)*E2/100)-K15/(16.4*E2/100)-K17/(33.2*E2/100))/2.8)*61.017+726.34*(K7/E2)+1220*(K10/E2))</f>
        <v>-129.7100039286702</v>
      </c>
      <c r="P8" s="38" t="s">
        <v>43</v>
      </c>
      <c r="Q8" s="43" t="s">
        <v>44</v>
      </c>
      <c r="R8" s="43" t="s">
        <v>27</v>
      </c>
      <c r="S8" s="43" t="s">
        <v>39</v>
      </c>
      <c r="T8" s="43" t="s">
        <v>15</v>
      </c>
      <c r="U8" s="43" t="s">
        <v>28</v>
      </c>
      <c r="W8" s="36" t="s">
        <v>46</v>
      </c>
      <c r="X8" s="35">
        <f t="shared" si="0"/>
        <v>0</v>
      </c>
      <c r="Z8" s="36" t="s">
        <v>46</v>
      </c>
      <c r="AA8" s="35">
        <f t="shared" si="1"/>
        <v>0</v>
      </c>
    </row>
    <row r="9" spans="1:27" ht="12.75" customHeight="1" x14ac:dyDescent="0.2">
      <c r="A9" s="3" t="s">
        <v>45</v>
      </c>
      <c r="B9" s="6">
        <v>31.7</v>
      </c>
      <c r="G9" s="3" t="s">
        <v>45</v>
      </c>
      <c r="H9" s="6">
        <f t="shared" si="2"/>
        <v>0.01</v>
      </c>
      <c r="J9" s="2" t="s">
        <v>46</v>
      </c>
      <c r="K9" s="27">
        <v>0</v>
      </c>
      <c r="M9" s="3" t="s">
        <v>45</v>
      </c>
      <c r="N9" s="6">
        <f>H9+482.28*(K5/E2)+606.66*(K6/E2)+13*(0.9*K14/12.4)*(100/E2)+K8*(174.39/E2)</f>
        <v>32.708599375229618</v>
      </c>
      <c r="P9" s="40" t="s">
        <v>47</v>
      </c>
      <c r="Q9" s="41" t="s">
        <v>48</v>
      </c>
      <c r="R9" s="41" t="s">
        <v>27</v>
      </c>
      <c r="S9" s="41" t="s">
        <v>14</v>
      </c>
      <c r="T9" s="41" t="s">
        <v>40</v>
      </c>
      <c r="U9" s="41" t="s">
        <v>28</v>
      </c>
      <c r="W9" s="36" t="s">
        <v>121</v>
      </c>
      <c r="X9" s="35">
        <f t="shared" si="0"/>
        <v>0</v>
      </c>
      <c r="Z9" s="36" t="s">
        <v>121</v>
      </c>
      <c r="AA9" s="35">
        <f t="shared" si="1"/>
        <v>0</v>
      </c>
    </row>
    <row r="10" spans="1:27" ht="12.75" customHeight="1" x14ac:dyDescent="0.2">
      <c r="A10" s="3" t="s">
        <v>49</v>
      </c>
      <c r="B10" s="5">
        <v>61.4</v>
      </c>
      <c r="D10" s="12"/>
      <c r="G10" s="3" t="s">
        <v>49</v>
      </c>
      <c r="H10" s="6">
        <f t="shared" si="2"/>
        <v>0.01</v>
      </c>
      <c r="J10" s="12" t="s">
        <v>121</v>
      </c>
      <c r="K10" s="27">
        <v>0</v>
      </c>
      <c r="M10" s="3" t="s">
        <v>49</v>
      </c>
      <c r="N10" s="6">
        <f>H10+557.93*(K4/E2)+17*(K15/16.4)*(100/E2)+K9*(389.73/E2)</f>
        <v>60.7253613301665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7" ht="12.75" customHeight="1" x14ac:dyDescent="0.2">
      <c r="A11" s="3" t="s">
        <v>52</v>
      </c>
      <c r="B11" s="14" t="s">
        <v>144</v>
      </c>
      <c r="D11" s="22" t="s">
        <v>114</v>
      </c>
      <c r="E11" s="34">
        <v>20</v>
      </c>
      <c r="G11" s="3" t="s">
        <v>52</v>
      </c>
      <c r="H11" s="6">
        <f t="shared" si="2"/>
        <v>0</v>
      </c>
      <c r="M11" s="3" t="s">
        <v>52</v>
      </c>
      <c r="N11" s="6">
        <f>H11+34*(K17/33.2)*(100/E2)</f>
        <v>0.12239049155926394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  <c r="W11" s="37" t="s">
        <v>9</v>
      </c>
      <c r="X11" s="37" t="s">
        <v>55</v>
      </c>
      <c r="Z11" s="37" t="s">
        <v>9</v>
      </c>
      <c r="AA11" s="37" t="s">
        <v>55</v>
      </c>
    </row>
    <row r="12" spans="1:27" ht="12.75" customHeight="1" x14ac:dyDescent="0.2">
      <c r="A12" s="3" t="s">
        <v>54</v>
      </c>
      <c r="B12" s="2">
        <v>0</v>
      </c>
      <c r="D12" s="22" t="s">
        <v>115</v>
      </c>
      <c r="E12" s="23">
        <f>E2-E11</f>
        <v>16</v>
      </c>
      <c r="G12" s="3" t="s">
        <v>54</v>
      </c>
      <c r="H12" s="6">
        <f>H37*$E$4+B35*$E$6+E37*$E$7+B12*$E$8</f>
        <v>0</v>
      </c>
      <c r="J12" s="1" t="s">
        <v>9</v>
      </c>
      <c r="K12" s="1" t="s">
        <v>55</v>
      </c>
      <c r="M12" s="3" t="s">
        <v>54</v>
      </c>
      <c r="N12" s="6">
        <f>H12+32*(K13/3.32)*(100/E2)</f>
        <v>0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  <c r="W12" s="36" t="s">
        <v>58</v>
      </c>
      <c r="X12" s="35">
        <f>$K13*($E$11/$E$2)</f>
        <v>0</v>
      </c>
      <c r="Z12" s="36" t="s">
        <v>58</v>
      </c>
      <c r="AA12" s="35">
        <f t="shared" ref="AA12" si="3">$K13*($E$12/$E$2)</f>
        <v>0</v>
      </c>
    </row>
    <row r="13" spans="1:27" ht="12.75" customHeight="1" x14ac:dyDescent="0.2">
      <c r="A13" s="83" t="s">
        <v>57</v>
      </c>
      <c r="B13" s="84"/>
      <c r="G13" s="83" t="s">
        <v>57</v>
      </c>
      <c r="H13" s="84"/>
      <c r="J13" s="2" t="s">
        <v>58</v>
      </c>
      <c r="K13" s="27">
        <v>0</v>
      </c>
      <c r="M13" s="83" t="s">
        <v>57</v>
      </c>
      <c r="N13" s="84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  <c r="W13" s="47" t="s">
        <v>126</v>
      </c>
      <c r="X13" s="35">
        <f>$K19*($E$11/$E$2)</f>
        <v>0</v>
      </c>
      <c r="Z13" s="47" t="s">
        <v>126</v>
      </c>
      <c r="AA13" s="35">
        <f>$K19*($E$12/$E$2)</f>
        <v>0</v>
      </c>
    </row>
    <row r="14" spans="1:27" ht="12.75" customHeight="1" x14ac:dyDescent="0.2">
      <c r="A14" s="3" t="s">
        <v>62</v>
      </c>
      <c r="B14" s="6">
        <f>(B$4*1.4+B$5*2.307)/10</f>
        <v>18.853929999999998</v>
      </c>
      <c r="G14" s="3" t="s">
        <v>62</v>
      </c>
      <c r="H14" s="6">
        <f>(H$4*1.4+H$5*2.307)/10</f>
        <v>0.18853930000000002</v>
      </c>
      <c r="J14" s="14" t="s">
        <v>125</v>
      </c>
      <c r="K14" s="82">
        <f>K22/0.09/Tabelle2!F44+(IF(E25="Mischbett",0,(B9*E7)/35.5*36.5*E2/1000/0.09/Tabelle2!F11))</f>
        <v>12.475773300087608</v>
      </c>
      <c r="M14" s="3" t="s">
        <v>62</v>
      </c>
      <c r="N14" s="6">
        <f>(N$4*1.4+N$5*2.307)/10</f>
        <v>0.18853930000000002</v>
      </c>
      <c r="P14" s="3" t="s">
        <v>63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  <c r="W14" s="36" t="s">
        <v>65</v>
      </c>
      <c r="X14" s="35">
        <f>$K16*($E$11/$E$2)</f>
        <v>0</v>
      </c>
      <c r="Z14" s="36" t="s">
        <v>65</v>
      </c>
      <c r="AA14" s="35">
        <f>$K16*($E$12/$E$2)</f>
        <v>0</v>
      </c>
    </row>
    <row r="15" spans="1:27" ht="12.75" customHeight="1" x14ac:dyDescent="0.2">
      <c r="A15" s="3" t="s">
        <v>64</v>
      </c>
      <c r="B15" s="6">
        <f>(B$8/61.017)*2.8</f>
        <v>13.812544045102182</v>
      </c>
      <c r="G15" s="3" t="s">
        <v>64</v>
      </c>
      <c r="H15" s="6">
        <f>(H$8/61.017)*2.8</f>
        <v>0.13812544045102185</v>
      </c>
      <c r="J15" t="s">
        <v>143</v>
      </c>
      <c r="K15" s="82">
        <f>K16+(IF(E25="Mischbett",0,(B10*E7)*E2/96.5*98.5/1000/0.1/1.07))</f>
        <v>21.086087840782529</v>
      </c>
      <c r="M15" s="3" t="s">
        <v>64</v>
      </c>
      <c r="N15" s="6">
        <f>(N$8/61.017)*2.8</f>
        <v>-5.9522429978575895</v>
      </c>
      <c r="P15" s="3" t="s">
        <v>66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  <c r="W15" s="47" t="s">
        <v>124</v>
      </c>
      <c r="X15" s="48">
        <f>K23</f>
        <v>0.09</v>
      </c>
      <c r="Z15" s="47" t="s">
        <v>124</v>
      </c>
      <c r="AA15" s="48">
        <f>K23</f>
        <v>0.09</v>
      </c>
    </row>
    <row r="16" spans="1:27" ht="12.75" customHeight="1" x14ac:dyDescent="0.2">
      <c r="A16" s="3" t="s">
        <v>67</v>
      </c>
      <c r="B16" s="6">
        <f>B$4/7.14</f>
        <v>11.960784313725492</v>
      </c>
      <c r="G16" s="3" t="s">
        <v>67</v>
      </c>
      <c r="H16" s="6">
        <f>H$4/7.14</f>
        <v>0.11960784313725492</v>
      </c>
      <c r="J16" s="14" t="s">
        <v>65</v>
      </c>
      <c r="K16" s="27">
        <v>0</v>
      </c>
      <c r="M16" s="3" t="s">
        <v>67</v>
      </c>
      <c r="N16" s="6">
        <f>N$4/7.14</f>
        <v>0.11960784313725492</v>
      </c>
      <c r="P16" s="3" t="s">
        <v>68</v>
      </c>
      <c r="Q16" s="4" t="s">
        <v>12</v>
      </c>
      <c r="R16" s="4" t="s">
        <v>28</v>
      </c>
      <c r="S16" s="4" t="s">
        <v>14</v>
      </c>
      <c r="T16" s="4" t="s">
        <v>69</v>
      </c>
      <c r="U16" s="4" t="s">
        <v>40</v>
      </c>
      <c r="W16" s="25" t="s">
        <v>117</v>
      </c>
      <c r="X16" s="35">
        <f>$K18*($E$11/$E$2)</f>
        <v>0</v>
      </c>
      <c r="Z16" s="25" t="s">
        <v>117</v>
      </c>
      <c r="AA16" s="35">
        <f>$K18*($E$12/$E$2)</f>
        <v>0</v>
      </c>
    </row>
    <row r="17" spans="1:27" ht="12.75" customHeight="1" x14ac:dyDescent="0.2">
      <c r="A17" s="3" t="s">
        <v>70</v>
      </c>
      <c r="B17" s="6">
        <f>B$5/4.34</f>
        <v>6.8894009216589858</v>
      </c>
      <c r="G17" s="3" t="s">
        <v>70</v>
      </c>
      <c r="H17" s="6">
        <f>H$5/4.34</f>
        <v>6.8894009216589863E-2</v>
      </c>
      <c r="J17" s="14" t="s">
        <v>118</v>
      </c>
      <c r="K17" s="31">
        <f>(K20/0.1)/Tabelle2!B10+(IF(E25="Mischbett",0,(B11*E7)*E2/94.994*97.994/1000/0.1*Tabelle2!B10))</f>
        <v>4.3023857503421262E-2</v>
      </c>
      <c r="M17" s="3" t="s">
        <v>70</v>
      </c>
      <c r="N17" s="6">
        <f>N$5/4.34</f>
        <v>6.8894009216589863E-2</v>
      </c>
      <c r="P17" s="3" t="s">
        <v>71</v>
      </c>
      <c r="Q17" s="4" t="s">
        <v>38</v>
      </c>
      <c r="R17" s="4" t="s">
        <v>28</v>
      </c>
      <c r="S17" s="4" t="s">
        <v>39</v>
      </c>
      <c r="T17" s="4" t="s">
        <v>72</v>
      </c>
      <c r="U17" s="4" t="s">
        <v>16</v>
      </c>
      <c r="W17" s="22" t="s">
        <v>120</v>
      </c>
      <c r="X17" s="32">
        <f>K21</f>
        <v>0.75</v>
      </c>
      <c r="Z17" s="22" t="s">
        <v>120</v>
      </c>
      <c r="AA17" s="32">
        <f>X17</f>
        <v>0.75</v>
      </c>
    </row>
    <row r="18" spans="1:27" ht="12.75" customHeight="1" x14ac:dyDescent="0.2">
      <c r="A18" s="3" t="s">
        <v>73</v>
      </c>
      <c r="B18" s="6">
        <f>B$14-B$15</f>
        <v>5.0413859548978159</v>
      </c>
      <c r="G18" s="3" t="s">
        <v>73</v>
      </c>
      <c r="H18" s="6">
        <f>H$14-H$15</f>
        <v>5.0413859548978174E-2</v>
      </c>
      <c r="J18" t="s">
        <v>117</v>
      </c>
      <c r="K18" s="27">
        <v>0</v>
      </c>
      <c r="M18" s="3" t="s">
        <v>73</v>
      </c>
      <c r="N18" s="6">
        <f>N$14-N$15</f>
        <v>6.1407822978575899</v>
      </c>
      <c r="P18" s="3" t="s">
        <v>75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7" ht="12.75" customHeight="1" x14ac:dyDescent="0.2">
      <c r="A19" s="1" t="s">
        <v>76</v>
      </c>
      <c r="B19" s="6">
        <f>B$10/B$9</f>
        <v>1.9369085173501577</v>
      </c>
      <c r="F19" t="s">
        <v>77</v>
      </c>
      <c r="G19" s="1" t="s">
        <v>76</v>
      </c>
      <c r="H19" s="6">
        <f>H$10/H$9</f>
        <v>1</v>
      </c>
      <c r="J19" t="s">
        <v>126</v>
      </c>
      <c r="K19" s="27">
        <v>0</v>
      </c>
      <c r="M19" s="1" t="s">
        <v>76</v>
      </c>
      <c r="N19" s="6">
        <f>N$10/N$9</f>
        <v>1.8565564557971905</v>
      </c>
      <c r="P19" s="42" t="s">
        <v>78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7" ht="12.75" customHeight="1" x14ac:dyDescent="0.2">
      <c r="A20" s="1" t="s">
        <v>79</v>
      </c>
      <c r="B20" s="7">
        <f>B$15-B$16/3.5-B$17/7</f>
        <v>9.410976966657902</v>
      </c>
      <c r="G20" s="1" t="s">
        <v>79</v>
      </c>
      <c r="H20" s="7">
        <f>H$15-H$16/3.5-H$17/7</f>
        <v>9.4109769666579038E-2</v>
      </c>
      <c r="J20" s="12" t="s">
        <v>119</v>
      </c>
      <c r="K20" s="33">
        <f>0.9849*EXP(0.0063*(K21*100))*K18*K21</f>
        <v>0</v>
      </c>
      <c r="M20" s="1" t="s">
        <v>79</v>
      </c>
      <c r="N20" s="7">
        <f>N$15-N$16/3.5-N$17/7</f>
        <v>-5.9962586686420325</v>
      </c>
      <c r="P20" s="3" t="s">
        <v>80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7" ht="12.75" customHeight="1" x14ac:dyDescent="0.2">
      <c r="J21" s="12" t="s">
        <v>120</v>
      </c>
      <c r="K21" s="32">
        <v>0.75</v>
      </c>
      <c r="P21" s="3" t="s">
        <v>81</v>
      </c>
      <c r="Q21" s="4" t="s">
        <v>82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7" ht="24.75" customHeight="1" x14ac:dyDescent="0.2">
      <c r="J22" s="12" t="s">
        <v>123</v>
      </c>
      <c r="K22" s="33">
        <f>(K23*0.005+0.9976)*K19*K23</f>
        <v>0</v>
      </c>
      <c r="P22" s="9"/>
      <c r="Q22" s="10"/>
      <c r="R22" s="10"/>
      <c r="S22" s="10"/>
      <c r="T22" s="10"/>
      <c r="U22" s="10"/>
    </row>
    <row r="23" spans="1:27" ht="12.75" customHeight="1" x14ac:dyDescent="0.2">
      <c r="D23" s="11"/>
      <c r="J23" s="12" t="s">
        <v>124</v>
      </c>
      <c r="K23" s="32">
        <v>0.09</v>
      </c>
      <c r="P23" s="77" t="s">
        <v>84</v>
      </c>
      <c r="Q23" s="10"/>
      <c r="R23" s="10"/>
      <c r="S23" s="10"/>
      <c r="T23" s="10"/>
      <c r="U23" s="10"/>
    </row>
    <row r="24" spans="1:27" ht="12.75" customHeight="1" x14ac:dyDescent="0.2">
      <c r="D24" s="83" t="s">
        <v>87</v>
      </c>
      <c r="E24" s="84"/>
      <c r="G24" s="83" t="s">
        <v>96</v>
      </c>
      <c r="H24" s="86"/>
      <c r="P24" s="78" t="s">
        <v>85</v>
      </c>
      <c r="R24" s="10"/>
      <c r="S24" s="10"/>
      <c r="T24" s="10"/>
      <c r="U24" s="10"/>
    </row>
    <row r="25" spans="1:27" ht="25.5" x14ac:dyDescent="0.2">
      <c r="A25" s="83" t="s">
        <v>83</v>
      </c>
      <c r="B25" s="84"/>
      <c r="D25" t="s">
        <v>140</v>
      </c>
      <c r="E25" t="s">
        <v>142</v>
      </c>
      <c r="G25" s="13" t="s">
        <v>89</v>
      </c>
      <c r="H25" s="20">
        <v>0</v>
      </c>
      <c r="P25" s="79" t="s">
        <v>86</v>
      </c>
      <c r="R25" s="10"/>
      <c r="S25" s="10"/>
      <c r="T25" s="10"/>
      <c r="U25" s="10"/>
    </row>
    <row r="26" spans="1:27" ht="25.5" x14ac:dyDescent="0.2">
      <c r="A26" s="1" t="s">
        <v>8</v>
      </c>
      <c r="B26" s="2"/>
      <c r="D26" s="13" t="s">
        <v>89</v>
      </c>
      <c r="E26" s="20">
        <v>700</v>
      </c>
      <c r="G26" s="13" t="s">
        <v>88</v>
      </c>
      <c r="H26" s="20">
        <v>6</v>
      </c>
    </row>
    <row r="27" spans="1:27" ht="25.5" x14ac:dyDescent="0.2">
      <c r="A27" s="3" t="s">
        <v>17</v>
      </c>
      <c r="B27" s="6">
        <f>B4-(B8-B31)/3</f>
        <v>0</v>
      </c>
      <c r="D27" s="13" t="s">
        <v>88</v>
      </c>
      <c r="E27" s="20">
        <v>6</v>
      </c>
      <c r="G27" s="12" t="s">
        <v>97</v>
      </c>
      <c r="H27" s="21">
        <v>0.95</v>
      </c>
      <c r="J27" s="49" t="s">
        <v>98</v>
      </c>
      <c r="K27" s="49" t="s">
        <v>99</v>
      </c>
      <c r="L27" s="49" t="s">
        <v>112</v>
      </c>
      <c r="M27" s="49" t="s">
        <v>113</v>
      </c>
      <c r="N27" s="49" t="s">
        <v>107</v>
      </c>
      <c r="O27" s="80" t="s">
        <v>129</v>
      </c>
      <c r="P27" s="80" t="s">
        <v>130</v>
      </c>
      <c r="Q27" s="80" t="s">
        <v>131</v>
      </c>
      <c r="X27" s="10"/>
      <c r="Y27" s="10"/>
    </row>
    <row r="28" spans="1:27" ht="12.75" customHeight="1" x14ac:dyDescent="0.2">
      <c r="A28" s="3" t="s">
        <v>23</v>
      </c>
      <c r="B28" s="6">
        <f>B5</f>
        <v>29.9</v>
      </c>
      <c r="D28" s="1" t="s">
        <v>8</v>
      </c>
      <c r="E28" s="2"/>
      <c r="G28" s="1" t="s">
        <v>8</v>
      </c>
      <c r="H28" s="2"/>
      <c r="J28" s="53" t="s">
        <v>100</v>
      </c>
      <c r="K28" s="24"/>
      <c r="L28" s="54"/>
      <c r="M28" s="26"/>
      <c r="N28" s="55"/>
      <c r="O28" s="49"/>
      <c r="P28" s="49"/>
      <c r="Q28" s="50"/>
      <c r="U28" s="10"/>
      <c r="V28" s="10"/>
      <c r="X28" s="10"/>
      <c r="Y28" s="10"/>
    </row>
    <row r="29" spans="1:27" ht="12.75" customHeight="1" x14ac:dyDescent="0.2">
      <c r="A29" s="3" t="s">
        <v>29</v>
      </c>
      <c r="B29" s="6">
        <f>B6</f>
        <v>14</v>
      </c>
      <c r="D29" s="3" t="s">
        <v>17</v>
      </c>
      <c r="E29" s="6">
        <f>IF(E25="Mischbett",B4*($E$27/$E$26),B4*0.01)</f>
        <v>0.85400000000000009</v>
      </c>
      <c r="G29" s="3" t="s">
        <v>17</v>
      </c>
      <c r="H29" s="6">
        <f>IF($H$25&gt;0,B4*($H$26/$H$25),B4*(1-$H$27))</f>
        <v>4.270000000000004</v>
      </c>
      <c r="J29" s="56" t="s">
        <v>101</v>
      </c>
      <c r="K29" s="57">
        <v>4</v>
      </c>
      <c r="L29" s="58">
        <v>0</v>
      </c>
      <c r="M29" s="59">
        <f t="shared" ref="M29:M34" si="4">L29/$L$43</f>
        <v>0</v>
      </c>
      <c r="N29" s="60">
        <f t="shared" ref="N29:N34" si="5">POWER(10,-(-0.25*LN(K29)+6.15))*M29</f>
        <v>0</v>
      </c>
      <c r="O29" s="51">
        <v>5.76</v>
      </c>
      <c r="P29" s="50">
        <f>O29*M29</f>
        <v>0</v>
      </c>
      <c r="Q29" s="50"/>
      <c r="X29" s="10"/>
      <c r="Y29" s="10"/>
    </row>
    <row r="30" spans="1:27" ht="12.75" customHeight="1" x14ac:dyDescent="0.2">
      <c r="A30" s="1" t="s">
        <v>35</v>
      </c>
      <c r="B30" s="6"/>
      <c r="D30" s="3" t="s">
        <v>23</v>
      </c>
      <c r="E30" s="6">
        <f>IF(E25="Mischbett",B5*($E$27/$E$26),B5*0.01)</f>
        <v>0.29899999999999999</v>
      </c>
      <c r="G30" s="3" t="s">
        <v>23</v>
      </c>
      <c r="H30" s="6">
        <f t="shared" ref="H30:H37" si="6">IF($H$25&gt;0,B5*($H$26/$H$25),B5*(1-$H$27))</f>
        <v>1.4950000000000012</v>
      </c>
      <c r="J30" s="56" t="s">
        <v>132</v>
      </c>
      <c r="K30" s="57">
        <v>15</v>
      </c>
      <c r="L30" s="58">
        <v>0</v>
      </c>
      <c r="M30" s="59">
        <f t="shared" si="4"/>
        <v>0</v>
      </c>
      <c r="N30" s="60">
        <f t="shared" si="5"/>
        <v>0</v>
      </c>
      <c r="O30" s="51">
        <v>5.3</v>
      </c>
      <c r="P30" s="50">
        <f t="shared" ref="P30:P34" si="7">O30*M30</f>
        <v>0</v>
      </c>
      <c r="Q30" s="50"/>
      <c r="X30" s="10"/>
      <c r="Y30" s="10"/>
    </row>
    <row r="31" spans="1:27" ht="12.75" customHeight="1" x14ac:dyDescent="0.2">
      <c r="A31" s="3" t="s">
        <v>41</v>
      </c>
      <c r="B31" s="6">
        <f>IF(AND(B8&gt;43.5, (B8-43.5)/3 &lt; B4), 43.5, IF(AND((B8-43.5)/3 &gt; B4, B8 &gt; 43.5), B8-3*B4, B8))</f>
        <v>44.799999999999955</v>
      </c>
      <c r="D31" s="3" t="s">
        <v>29</v>
      </c>
      <c r="E31" s="6">
        <f>IF(E25="Mischbett",B6*($E$27/$E$26),B6*0.01)</f>
        <v>0.14000000000000001</v>
      </c>
      <c r="G31" s="3" t="s">
        <v>29</v>
      </c>
      <c r="H31" s="6">
        <f t="shared" si="6"/>
        <v>0.70000000000000062</v>
      </c>
      <c r="J31" s="56" t="s">
        <v>133</v>
      </c>
      <c r="K31" s="57">
        <v>25</v>
      </c>
      <c r="L31" s="58">
        <v>3.7</v>
      </c>
      <c r="M31" s="59">
        <f t="shared" si="4"/>
        <v>0.92500000000000004</v>
      </c>
      <c r="N31" s="60">
        <f t="shared" si="5"/>
        <v>4.1769635838248599E-6</v>
      </c>
      <c r="O31" s="51">
        <v>5.43</v>
      </c>
      <c r="P31" s="50">
        <f t="shared" si="7"/>
        <v>5.0227500000000003</v>
      </c>
      <c r="Q31" s="50"/>
    </row>
    <row r="32" spans="1:27" ht="12.75" customHeight="1" x14ac:dyDescent="0.2">
      <c r="A32" s="3" t="s">
        <v>45</v>
      </c>
      <c r="B32" s="6">
        <f>B9</f>
        <v>31.7</v>
      </c>
      <c r="D32" s="1" t="s">
        <v>35</v>
      </c>
      <c r="E32" s="6"/>
      <c r="G32" s="1" t="s">
        <v>35</v>
      </c>
      <c r="H32" s="6"/>
      <c r="J32" s="56" t="s">
        <v>134</v>
      </c>
      <c r="K32" s="57">
        <v>17</v>
      </c>
      <c r="L32" s="58">
        <v>0</v>
      </c>
      <c r="M32" s="59">
        <f t="shared" si="4"/>
        <v>0</v>
      </c>
      <c r="N32" s="60">
        <f t="shared" si="5"/>
        <v>0</v>
      </c>
      <c r="O32" s="51">
        <v>5.46</v>
      </c>
      <c r="P32" s="50">
        <f t="shared" si="7"/>
        <v>0</v>
      </c>
      <c r="Q32" s="50"/>
    </row>
    <row r="33" spans="1:17" ht="12.75" customHeight="1" x14ac:dyDescent="0.2">
      <c r="A33" s="3" t="s">
        <v>49</v>
      </c>
      <c r="B33" s="6">
        <f>B10</f>
        <v>61.4</v>
      </c>
      <c r="D33" s="3" t="s">
        <v>41</v>
      </c>
      <c r="E33" s="6">
        <f>IF(E25="Mischbett",B8*($E$27/$E$26),B8*0.01)</f>
        <v>3.0100000000000002</v>
      </c>
      <c r="G33" s="3" t="s">
        <v>41</v>
      </c>
      <c r="H33" s="6">
        <f t="shared" si="6"/>
        <v>15.050000000000013</v>
      </c>
      <c r="J33" s="56" t="s">
        <v>135</v>
      </c>
      <c r="K33" s="57">
        <v>4</v>
      </c>
      <c r="L33" s="58">
        <v>0</v>
      </c>
      <c r="M33" s="59">
        <f t="shared" si="4"/>
        <v>0</v>
      </c>
      <c r="N33" s="60">
        <f t="shared" si="5"/>
        <v>0</v>
      </c>
      <c r="O33" s="51">
        <v>6.04</v>
      </c>
      <c r="P33" s="50">
        <f t="shared" si="7"/>
        <v>0</v>
      </c>
      <c r="Q33" s="50"/>
    </row>
    <row r="34" spans="1:17" ht="12.75" customHeight="1" x14ac:dyDescent="0.2">
      <c r="A34" s="3" t="s">
        <v>52</v>
      </c>
      <c r="B34" s="6" t="str">
        <f>B11</f>
        <v>0,11</v>
      </c>
      <c r="D34" s="3" t="s">
        <v>45</v>
      </c>
      <c r="E34" s="6">
        <f>IF(E25="Mischbett",B9*($E$27/$E$26),0.01)</f>
        <v>0.01</v>
      </c>
      <c r="G34" s="3" t="s">
        <v>45</v>
      </c>
      <c r="H34" s="6">
        <f t="shared" si="6"/>
        <v>1.5850000000000013</v>
      </c>
      <c r="J34" s="56" t="s">
        <v>122</v>
      </c>
      <c r="K34" s="57">
        <v>4</v>
      </c>
      <c r="L34" s="58">
        <v>0</v>
      </c>
      <c r="M34" s="59">
        <f t="shared" si="4"/>
        <v>0</v>
      </c>
      <c r="N34" s="60">
        <f t="shared" si="5"/>
        <v>0</v>
      </c>
      <c r="O34" s="51">
        <v>5.56</v>
      </c>
      <c r="P34" s="50">
        <f t="shared" si="7"/>
        <v>0</v>
      </c>
      <c r="Q34" s="50"/>
    </row>
    <row r="35" spans="1:17" ht="12.75" customHeight="1" x14ac:dyDescent="0.2">
      <c r="A35" s="3" t="s">
        <v>54</v>
      </c>
      <c r="B35" s="6">
        <f>B12</f>
        <v>0</v>
      </c>
      <c r="D35" s="3" t="s">
        <v>49</v>
      </c>
      <c r="E35" s="6">
        <f>IF(E25="Mischbett",B10*($E$27/$E$26),0.01)</f>
        <v>0.01</v>
      </c>
      <c r="G35" s="3" t="s">
        <v>49</v>
      </c>
      <c r="H35" s="6">
        <f t="shared" si="6"/>
        <v>3.0700000000000025</v>
      </c>
      <c r="J35" s="52" t="s">
        <v>136</v>
      </c>
      <c r="K35" s="52"/>
      <c r="L35" s="52"/>
      <c r="M35" s="52"/>
      <c r="N35" s="52"/>
      <c r="O35" s="49"/>
      <c r="P35" s="50">
        <f>SUM(P29:P34)</f>
        <v>5.0227500000000003</v>
      </c>
      <c r="Q35" s="50"/>
    </row>
    <row r="36" spans="1:17" ht="12.75" customHeight="1" x14ac:dyDescent="0.2">
      <c r="A36" s="83" t="s">
        <v>57</v>
      </c>
      <c r="B36" s="84"/>
      <c r="D36" s="3" t="s">
        <v>52</v>
      </c>
      <c r="E36" s="6">
        <f>IF(E25="Mischbett",B11*($E$27/$E$26),0)</f>
        <v>0</v>
      </c>
      <c r="G36" s="3" t="s">
        <v>52</v>
      </c>
      <c r="H36" s="6">
        <f t="shared" si="6"/>
        <v>5.5000000000000049E-3</v>
      </c>
      <c r="J36" s="54" t="s">
        <v>102</v>
      </c>
      <c r="K36" s="55"/>
      <c r="L36" s="61"/>
      <c r="M36" s="62"/>
      <c r="N36" s="55"/>
      <c r="O36" s="52"/>
      <c r="P36" s="50"/>
      <c r="Q36" s="50"/>
    </row>
    <row r="37" spans="1:17" ht="12.75" customHeight="1" x14ac:dyDescent="0.2">
      <c r="A37" s="3" t="s">
        <v>62</v>
      </c>
      <c r="B37" s="6">
        <f>(B$27*1.4+B$28*2.307)/10</f>
        <v>6.8979299999999997</v>
      </c>
      <c r="D37" s="3" t="s">
        <v>54</v>
      </c>
      <c r="E37" s="6">
        <f>B12*($E$27/$E$26)</f>
        <v>0</v>
      </c>
      <c r="G37" s="3" t="s">
        <v>54</v>
      </c>
      <c r="H37" s="6">
        <f t="shared" si="6"/>
        <v>0</v>
      </c>
      <c r="J37" s="56" t="s">
        <v>105</v>
      </c>
      <c r="K37" s="63">
        <v>25</v>
      </c>
      <c r="L37" s="58">
        <v>0</v>
      </c>
      <c r="M37" s="59">
        <f>L37/$L$43</f>
        <v>0</v>
      </c>
      <c r="N37" s="60">
        <f>POWER(10,-(-0.295*LN(K37)+6.089))*M37</f>
        <v>0</v>
      </c>
      <c r="O37" s="52"/>
      <c r="P37" s="50">
        <f>Q37*M37</f>
        <v>0</v>
      </c>
      <c r="Q37" s="50">
        <f>14+0.13*K37</f>
        <v>17.25</v>
      </c>
    </row>
    <row r="38" spans="1:17" ht="12.75" customHeight="1" x14ac:dyDescent="0.2">
      <c r="A38" s="3" t="s">
        <v>64</v>
      </c>
      <c r="B38" s="6">
        <f>(B$31/61.017)*2.8</f>
        <v>2.0558205090384627</v>
      </c>
      <c r="D38" s="83" t="s">
        <v>57</v>
      </c>
      <c r="E38" s="84"/>
      <c r="G38" s="83" t="s">
        <v>57</v>
      </c>
      <c r="H38" s="84"/>
      <c r="J38" s="56" t="s">
        <v>106</v>
      </c>
      <c r="K38" s="63">
        <v>400</v>
      </c>
      <c r="L38" s="58">
        <v>0.15</v>
      </c>
      <c r="M38" s="59">
        <f>L38/$L$43</f>
        <v>3.7499999999999999E-2</v>
      </c>
      <c r="N38" s="60">
        <f>POWER(10,-(-0.295*LN(K38)+6.089))*M38</f>
        <v>1.788600340626194E-6</v>
      </c>
      <c r="O38" s="52"/>
      <c r="P38" s="50">
        <f t="shared" ref="P38:P42" si="8">Q38*M38</f>
        <v>2.4750000000000001</v>
      </c>
      <c r="Q38" s="50">
        <f t="shared" ref="Q38:Q40" si="9">14+0.13*K38</f>
        <v>66</v>
      </c>
    </row>
    <row r="39" spans="1:17" ht="12.75" customHeight="1" x14ac:dyDescent="0.2">
      <c r="A39" s="3" t="s">
        <v>67</v>
      </c>
      <c r="B39" s="6">
        <f>B$27/7.14</f>
        <v>0</v>
      </c>
      <c r="D39" s="3" t="s">
        <v>62</v>
      </c>
      <c r="E39" s="6">
        <f>(E$29*1.4+E$30*2.307)/10</f>
        <v>0.18853930000000002</v>
      </c>
      <c r="G39" s="3" t="s">
        <v>62</v>
      </c>
      <c r="H39" s="6">
        <f>(H$29*1.4+H$30*2.307)/10</f>
        <v>0.94269650000000083</v>
      </c>
      <c r="J39" s="56" t="s">
        <v>137</v>
      </c>
      <c r="K39" s="63">
        <v>100</v>
      </c>
      <c r="L39" s="58">
        <v>0.15</v>
      </c>
      <c r="M39" s="59">
        <f>L39/$L$43</f>
        <v>3.7499999999999999E-2</v>
      </c>
      <c r="N39" s="60">
        <f>POWER(10,-(-0.295*LN(K39)+6.089))*M39</f>
        <v>6.9751969153062882E-7</v>
      </c>
      <c r="O39" s="52"/>
      <c r="P39" s="50">
        <f t="shared" si="8"/>
        <v>1.0125</v>
      </c>
      <c r="Q39" s="50">
        <f t="shared" si="9"/>
        <v>27</v>
      </c>
    </row>
    <row r="40" spans="1:17" ht="12.75" customHeight="1" x14ac:dyDescent="0.2">
      <c r="A40" s="3" t="s">
        <v>70</v>
      </c>
      <c r="B40" s="6">
        <f>B$28/4.34</f>
        <v>6.8894009216589858</v>
      </c>
      <c r="D40" s="3" t="s">
        <v>64</v>
      </c>
      <c r="E40" s="6">
        <f>(E$33/61.017)*2.8</f>
        <v>0.13812544045102185</v>
      </c>
      <c r="G40" s="3" t="s">
        <v>64</v>
      </c>
      <c r="H40" s="6">
        <f>(H$33/61.017)*2.8</f>
        <v>0.69062720225510976</v>
      </c>
      <c r="J40" s="56" t="s">
        <v>104</v>
      </c>
      <c r="K40" s="63">
        <v>25</v>
      </c>
      <c r="L40" s="58">
        <v>0</v>
      </c>
      <c r="M40" s="59">
        <f>L40/$L$43</f>
        <v>0</v>
      </c>
      <c r="N40" s="60">
        <f>POWER(10,-(-0.295*LN(K40)+6.089))*M40</f>
        <v>0</v>
      </c>
      <c r="O40" s="52"/>
      <c r="P40" s="50">
        <f t="shared" si="8"/>
        <v>0</v>
      </c>
      <c r="Q40" s="50">
        <f t="shared" si="9"/>
        <v>17.25</v>
      </c>
    </row>
    <row r="41" spans="1:17" ht="12.75" customHeight="1" x14ac:dyDescent="0.2">
      <c r="A41" s="3" t="s">
        <v>73</v>
      </c>
      <c r="B41" s="6">
        <f>B$37-B$38</f>
        <v>4.842109490961537</v>
      </c>
      <c r="D41" s="3" t="s">
        <v>67</v>
      </c>
      <c r="E41" s="6">
        <f>E$29/7.14</f>
        <v>0.11960784313725492</v>
      </c>
      <c r="F41" t="s">
        <v>77</v>
      </c>
      <c r="G41" s="3" t="s">
        <v>67</v>
      </c>
      <c r="H41" s="6">
        <f>H$29/7.14</f>
        <v>0.59803921568627505</v>
      </c>
      <c r="J41" s="56" t="s">
        <v>103</v>
      </c>
      <c r="K41" s="64"/>
      <c r="L41" s="61"/>
      <c r="M41" s="62">
        <f>SUM(M37:M40)</f>
        <v>7.4999999999999997E-2</v>
      </c>
      <c r="N41" s="56"/>
      <c r="O41" s="52"/>
      <c r="P41" s="50"/>
      <c r="Q41" s="50"/>
    </row>
    <row r="42" spans="1:17" ht="12.75" customHeight="1" x14ac:dyDescent="0.2">
      <c r="A42" s="1" t="s">
        <v>76</v>
      </c>
      <c r="B42" s="6">
        <f>$B$33/$B$32</f>
        <v>1.9369085173501577</v>
      </c>
      <c r="D42" s="3" t="s">
        <v>70</v>
      </c>
      <c r="E42" s="6">
        <f>E$30/4.34</f>
        <v>6.8894009216589863E-2</v>
      </c>
      <c r="G42" s="3" t="s">
        <v>70</v>
      </c>
      <c r="H42" s="6">
        <f>H$30/4.34</f>
        <v>0.34447004608294962</v>
      </c>
      <c r="J42" s="56" t="s">
        <v>104</v>
      </c>
      <c r="K42" s="63">
        <v>350</v>
      </c>
      <c r="L42" s="58">
        <v>0</v>
      </c>
      <c r="M42" s="59">
        <f>L42/$L$43</f>
        <v>0</v>
      </c>
      <c r="N42" s="60">
        <f>POWER(10,-4.65)*M42</f>
        <v>0</v>
      </c>
      <c r="O42" s="52"/>
      <c r="P42" s="50">
        <f t="shared" si="8"/>
        <v>0</v>
      </c>
      <c r="Q42" s="50">
        <v>40</v>
      </c>
    </row>
    <row r="43" spans="1:17" ht="12.75" customHeight="1" x14ac:dyDescent="0.2">
      <c r="A43" s="1" t="s">
        <v>79</v>
      </c>
      <c r="B43" s="7">
        <f>B$38-B$39/3.5-B$40/7</f>
        <v>1.0716203773728932</v>
      </c>
      <c r="D43" s="3" t="s">
        <v>73</v>
      </c>
      <c r="E43" s="6">
        <f>E$39-E$40</f>
        <v>5.0413859548978174E-2</v>
      </c>
      <c r="G43" s="3" t="s">
        <v>73</v>
      </c>
      <c r="H43" s="6">
        <f>H$39-H$40</f>
        <v>0.25206929774489106</v>
      </c>
      <c r="J43" s="65" t="s">
        <v>111</v>
      </c>
      <c r="K43" s="66"/>
      <c r="L43" s="28">
        <f>SUM(L29:L42)</f>
        <v>4</v>
      </c>
      <c r="M43" s="66"/>
      <c r="N43" s="67"/>
      <c r="O43" s="52"/>
      <c r="P43" s="50">
        <f>(0.14*(SUM(P37:P42)))/(E11/L43)</f>
        <v>9.7650000000000001E-2</v>
      </c>
      <c r="Q43" s="50"/>
    </row>
    <row r="44" spans="1:17" ht="12.75" customHeight="1" x14ac:dyDescent="0.2">
      <c r="D44" s="1" t="s">
        <v>76</v>
      </c>
      <c r="E44" s="6">
        <f>$E$35/$E$34</f>
        <v>1</v>
      </c>
      <c r="G44" s="1" t="s">
        <v>76</v>
      </c>
      <c r="H44" s="6">
        <f>E$35/E$34</f>
        <v>1</v>
      </c>
      <c r="J44" s="52"/>
      <c r="K44" s="52"/>
      <c r="L44" s="52"/>
      <c r="M44" s="52"/>
      <c r="N44" s="52"/>
      <c r="O44" s="52"/>
      <c r="P44" s="16"/>
      <c r="Q44" s="16"/>
    </row>
    <row r="45" spans="1:17" ht="12.75" customHeight="1" x14ac:dyDescent="0.2">
      <c r="D45" s="1" t="s">
        <v>79</v>
      </c>
      <c r="E45" s="7">
        <f>E$40-E$41/3.5-E$42/7</f>
        <v>9.4109769666579038E-2</v>
      </c>
      <c r="G45" s="1" t="s">
        <v>79</v>
      </c>
      <c r="H45" s="7">
        <f>H$40-H$41/3.5-H$42/7</f>
        <v>0.47054884833289551</v>
      </c>
      <c r="J45" s="52"/>
      <c r="K45" s="52"/>
      <c r="L45" s="52"/>
      <c r="M45" s="52"/>
      <c r="N45" s="68"/>
      <c r="O45" s="52"/>
      <c r="P45" s="29"/>
      <c r="Q45" s="29"/>
    </row>
    <row r="46" spans="1:17" ht="12.75" customHeight="1" x14ac:dyDescent="0.2">
      <c r="J46" s="52" t="s">
        <v>108</v>
      </c>
      <c r="K46" s="52"/>
      <c r="L46" s="52"/>
      <c r="M46" s="52"/>
      <c r="N46" s="68">
        <f>SUM(N29:N45)</f>
        <v>6.6630836159816826E-6</v>
      </c>
      <c r="O46" s="52"/>
      <c r="P46" s="69"/>
      <c r="Q46" s="17"/>
    </row>
    <row r="47" spans="1:17" ht="12.75" customHeight="1" x14ac:dyDescent="0.2">
      <c r="J47" s="70" t="s">
        <v>109</v>
      </c>
      <c r="K47" s="52"/>
      <c r="L47" s="52"/>
      <c r="M47" s="52"/>
      <c r="N47" s="16">
        <f>-LOG10(N46)</f>
        <v>5.1763247366745935</v>
      </c>
      <c r="O47" s="52"/>
      <c r="P47" s="71">
        <f>(P35+5.7*M41)-P43</f>
        <v>5.3526000000000007</v>
      </c>
      <c r="Q47" s="52"/>
    </row>
    <row r="48" spans="1:17" ht="12.75" customHeight="1" x14ac:dyDescent="0.2">
      <c r="J48" s="72" t="s">
        <v>116</v>
      </c>
      <c r="K48" s="52"/>
      <c r="L48" s="52"/>
      <c r="M48" s="52"/>
      <c r="N48" s="29">
        <f>E11/L43*0.013+0.013</f>
        <v>7.8E-2</v>
      </c>
      <c r="O48" s="52"/>
      <c r="P48" s="73">
        <f>E11/L43*0.013+0.013</f>
        <v>7.8E-2</v>
      </c>
      <c r="Q48" s="52"/>
    </row>
    <row r="49" spans="10:17" ht="12.75" customHeight="1" x14ac:dyDescent="0.2">
      <c r="J49" s="74" t="s">
        <v>110</v>
      </c>
      <c r="K49" s="52"/>
      <c r="L49" s="52"/>
      <c r="M49" s="52"/>
      <c r="N49" s="17">
        <f>N47+(N20/2.8*N48)</f>
        <v>5.0092861023338511</v>
      </c>
      <c r="O49" s="52"/>
      <c r="P49" s="75">
        <f>P47+(P48*(N20/2.809))</f>
        <v>5.1860965553029272</v>
      </c>
      <c r="Q49" s="52"/>
    </row>
    <row r="50" spans="10:17" ht="12.75" customHeight="1" x14ac:dyDescent="0.2">
      <c r="J50" s="52"/>
      <c r="K50" s="52"/>
      <c r="L50" s="52"/>
      <c r="M50" s="52"/>
      <c r="N50" s="52"/>
      <c r="O50" s="52"/>
      <c r="P50" s="76"/>
      <c r="Q50" s="52"/>
    </row>
    <row r="51" spans="10:17" ht="12.75" customHeight="1" x14ac:dyDescent="0.2"/>
    <row r="52" spans="10:17" ht="12.75" customHeight="1" x14ac:dyDescent="0.2"/>
    <row r="53" spans="10:17" ht="12.75" customHeight="1" x14ac:dyDescent="0.2">
      <c r="J53" s="94" t="s">
        <v>138</v>
      </c>
      <c r="K53" s="95"/>
      <c r="L53" s="95"/>
      <c r="M53" s="95"/>
      <c r="N53" s="95"/>
      <c r="O53" s="95"/>
      <c r="P53" s="96"/>
      <c r="Q53" s="96"/>
    </row>
    <row r="54" spans="10:17" ht="12.75" customHeight="1" x14ac:dyDescent="0.2">
      <c r="J54" s="94" t="s">
        <v>139</v>
      </c>
      <c r="K54" s="95"/>
      <c r="L54" s="95"/>
      <c r="M54" s="95"/>
      <c r="N54" s="95"/>
      <c r="O54" s="95"/>
      <c r="P54" s="96"/>
    </row>
    <row r="55" spans="10:17" ht="12.75" customHeight="1" x14ac:dyDescent="0.2"/>
    <row r="56" spans="10:17" ht="12.75" customHeight="1" x14ac:dyDescent="0.2"/>
    <row r="57" spans="10:17" ht="12.75" customHeight="1" x14ac:dyDescent="0.2"/>
    <row r="58" spans="10:17" ht="12.75" customHeight="1" x14ac:dyDescent="0.2"/>
    <row r="59" spans="10:17" ht="12.75" customHeight="1" x14ac:dyDescent="0.2"/>
    <row r="60" spans="10:17" ht="12.75" customHeight="1" x14ac:dyDescent="0.2"/>
    <row r="61" spans="10:17" ht="12.75" customHeight="1" x14ac:dyDescent="0.2"/>
    <row r="62" spans="10:17" ht="12.75" customHeight="1" x14ac:dyDescent="0.2"/>
    <row r="63" spans="10:17" ht="12.75" customHeight="1" x14ac:dyDescent="0.2"/>
    <row r="64" spans="10:17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1">
    <mergeCell ref="J53:Q53"/>
    <mergeCell ref="J54:P54"/>
    <mergeCell ref="A36:B36"/>
    <mergeCell ref="D24:E24"/>
    <mergeCell ref="A25:B25"/>
    <mergeCell ref="A13:B13"/>
    <mergeCell ref="A2:B2"/>
    <mergeCell ref="W2:X2"/>
    <mergeCell ref="Z2:AA2"/>
    <mergeCell ref="D38:E38"/>
    <mergeCell ref="G2:H2"/>
    <mergeCell ref="G13:H13"/>
    <mergeCell ref="G38:H38"/>
    <mergeCell ref="G24:H24"/>
    <mergeCell ref="D2:D3"/>
    <mergeCell ref="E2:E3"/>
    <mergeCell ref="D4:D5"/>
    <mergeCell ref="E4:E5"/>
    <mergeCell ref="J2:K2"/>
    <mergeCell ref="M2:N2"/>
    <mergeCell ref="M13:N13"/>
  </mergeCells>
  <conditionalFormatting sqref="Q4">
    <cfRule type="expression" dxfId="97" priority="21">
      <formula>IF($N$20&lt;-2,TRUE())</formula>
    </cfRule>
  </conditionalFormatting>
  <conditionalFormatting sqref="Q4">
    <cfRule type="expression" dxfId="96" priority="22">
      <formula>IF($N$20&gt;0,TRUE())</formula>
    </cfRule>
  </conditionalFormatting>
  <conditionalFormatting sqref="Q5">
    <cfRule type="expression" dxfId="95" priority="23">
      <formula>IF($N$20&lt;-5,TRUE())</formula>
    </cfRule>
  </conditionalFormatting>
  <conditionalFormatting sqref="Q5">
    <cfRule type="expression" dxfId="94" priority="24">
      <formula>IF($N$20&gt;0,TRUE())</formula>
    </cfRule>
  </conditionalFormatting>
  <conditionalFormatting sqref="Q8">
    <cfRule type="expression" dxfId="93" priority="25">
      <formula>IF($N$20&lt;3,TRUE())</formula>
    </cfRule>
  </conditionalFormatting>
  <conditionalFormatting sqref="Q8">
    <cfRule type="expression" dxfId="92" priority="26">
      <formula>IF($N$20&gt;6,TRUE())</formula>
    </cfRule>
  </conditionalFormatting>
  <conditionalFormatting sqref="Q9">
    <cfRule type="expression" dxfId="91" priority="27">
      <formula>IF($N$20&lt;5,TRUE())</formula>
    </cfRule>
  </conditionalFormatting>
  <conditionalFormatting sqref="Q9">
    <cfRule type="expression" dxfId="90" priority="28">
      <formula>IF($N$20&gt;10,TRUE())</formula>
    </cfRule>
  </conditionalFormatting>
  <conditionalFormatting sqref="Q6">
    <cfRule type="expression" dxfId="89" priority="29">
      <formula>IF($N$20&lt;0,TRUE())</formula>
    </cfRule>
  </conditionalFormatting>
  <conditionalFormatting sqref="Q6">
    <cfRule type="expression" dxfId="88" priority="30">
      <formula>IF($N$20&gt;2,TRUE())</formula>
    </cfRule>
  </conditionalFormatting>
  <conditionalFormatting sqref="Q10">
    <cfRule type="expression" dxfId="87" priority="31">
      <formula>IF($N$20&lt;9,TRUE())</formula>
    </cfRule>
  </conditionalFormatting>
  <conditionalFormatting sqref="Q10">
    <cfRule type="expression" dxfId="86" priority="32">
      <formula>IF($N$20&gt;11,TRUE())</formula>
    </cfRule>
  </conditionalFormatting>
  <conditionalFormatting sqref="Q11">
    <cfRule type="expression" dxfId="85" priority="33">
      <formula>IF($N$20&lt;-5,TRUE())</formula>
    </cfRule>
  </conditionalFormatting>
  <conditionalFormatting sqref="Q11">
    <cfRule type="expression" dxfId="84" priority="34">
      <formula>IF($N$20&gt;0,TRUE())</formula>
    </cfRule>
  </conditionalFormatting>
  <conditionalFormatting sqref="Q3">
    <cfRule type="expression" dxfId="83" priority="35">
      <formula>IF($N$20&lt;-3,TRUE())</formula>
    </cfRule>
  </conditionalFormatting>
  <conditionalFormatting sqref="Q3">
    <cfRule type="expression" dxfId="82" priority="36">
      <formula>IF($N$20&gt;0,TRUE())</formula>
    </cfRule>
  </conditionalFormatting>
  <conditionalFormatting sqref="Q12">
    <cfRule type="expression" dxfId="81" priority="37">
      <formula>IF($N$20&lt;0,TRUE())</formula>
    </cfRule>
  </conditionalFormatting>
  <conditionalFormatting sqref="Q12">
    <cfRule type="expression" dxfId="80" priority="38">
      <formula>IF($N$20&gt;5,TRUE())</formula>
    </cfRule>
  </conditionalFormatting>
  <conditionalFormatting sqref="Q13">
    <cfRule type="expression" dxfId="79" priority="39">
      <formula>IF($N$20&lt;2,TRUE())</formula>
    </cfRule>
  </conditionalFormatting>
  <conditionalFormatting sqref="Q13">
    <cfRule type="expression" dxfId="78" priority="40">
      <formula>IF($N$20&gt;7,TRUE())</formula>
    </cfRule>
  </conditionalFormatting>
  <conditionalFormatting sqref="Q14">
    <cfRule type="expression" dxfId="77" priority="41">
      <formula>IF($N$20&lt;5,TRUE())</formula>
    </cfRule>
  </conditionalFormatting>
  <conditionalFormatting sqref="Q14">
    <cfRule type="expression" dxfId="76" priority="42">
      <formula>IF($N$20&gt;10,TRUE())</formula>
    </cfRule>
  </conditionalFormatting>
  <conditionalFormatting sqref="Q15">
    <cfRule type="expression" dxfId="75" priority="43">
      <formula>IF($N$20&lt;-3,TRUE())</formula>
    </cfRule>
  </conditionalFormatting>
  <conditionalFormatting sqref="Q15">
    <cfRule type="expression" dxfId="74" priority="44">
      <formula>IF($N$20&gt;0,TRUE())</formula>
    </cfRule>
  </conditionalFormatting>
  <conditionalFormatting sqref="Q16">
    <cfRule type="expression" dxfId="73" priority="45">
      <formula>IF($N$20&lt;-3,TRUE())</formula>
    </cfRule>
  </conditionalFormatting>
  <conditionalFormatting sqref="Q16">
    <cfRule type="expression" dxfId="72" priority="46">
      <formula>IF($N$20&gt;0,TRUE())</formula>
    </cfRule>
  </conditionalFormatting>
  <conditionalFormatting sqref="Q17">
    <cfRule type="expression" dxfId="71" priority="47">
      <formula>IF($N$20&lt;0,TRUE())</formula>
    </cfRule>
  </conditionalFormatting>
  <conditionalFormatting sqref="Q17">
    <cfRule type="expression" dxfId="70" priority="48">
      <formula>IF($N$20&gt;5,TRUE())</formula>
    </cfRule>
  </conditionalFormatting>
  <conditionalFormatting sqref="Q18">
    <cfRule type="expression" dxfId="69" priority="49">
      <formula>IF($N$20&lt;5,TRUE())</formula>
    </cfRule>
  </conditionalFormatting>
  <conditionalFormatting sqref="Q18">
    <cfRule type="expression" dxfId="68" priority="50">
      <formula>IF($N$20&gt;10,TRUE())</formula>
    </cfRule>
  </conditionalFormatting>
  <conditionalFormatting sqref="Q19">
    <cfRule type="expression" dxfId="67" priority="51">
      <formula>IF($N$20&lt;-1,TRUE())</formula>
    </cfRule>
  </conditionalFormatting>
  <conditionalFormatting sqref="Q19">
    <cfRule type="expression" dxfId="66" priority="52">
      <formula>IF($N$20&gt;1,TRUE())</formula>
    </cfRule>
  </conditionalFormatting>
  <conditionalFormatting sqref="Q20">
    <cfRule type="expression" dxfId="65" priority="53">
      <formula>IF($N$20&lt;0,TRUE())</formula>
    </cfRule>
  </conditionalFormatting>
  <conditionalFormatting sqref="Q20">
    <cfRule type="expression" dxfId="64" priority="54">
      <formula>IF($N$20&gt;5,TRUE())</formula>
    </cfRule>
  </conditionalFormatting>
  <conditionalFormatting sqref="R3">
    <cfRule type="expression" dxfId="63" priority="55">
      <formula>IF($N$4&lt;30,TRUE())</formula>
    </cfRule>
  </conditionalFormatting>
  <conditionalFormatting sqref="R3">
    <cfRule type="expression" dxfId="62" priority="56">
      <formula>IF($N$4&gt;50,TRUE())</formula>
    </cfRule>
  </conditionalFormatting>
  <conditionalFormatting sqref="R4">
    <cfRule type="expression" dxfId="61" priority="57">
      <formula>IF($N$4&lt;0,TRUE())</formula>
    </cfRule>
  </conditionalFormatting>
  <conditionalFormatting sqref="R4">
    <cfRule type="expression" dxfId="60" priority="58">
      <formula>IF($N$4&gt;30,TRUE())</formula>
    </cfRule>
  </conditionalFormatting>
  <conditionalFormatting sqref="R5 R7:R9 R11 R13:R15 R17:R21">
    <cfRule type="expression" dxfId="59" priority="59">
      <formula>IF($N$4&lt;50,TRUE())</formula>
    </cfRule>
  </conditionalFormatting>
  <conditionalFormatting sqref="R5 R7:R9 R13 R18 R21">
    <cfRule type="expression" dxfId="58" priority="60">
      <formula>IF($N$4&gt;75,TRUE())</formula>
    </cfRule>
  </conditionalFormatting>
  <conditionalFormatting sqref="R6">
    <cfRule type="expression" dxfId="57" priority="61">
      <formula>IF($N$4&lt;75,TRUE())</formula>
    </cfRule>
  </conditionalFormatting>
  <conditionalFormatting sqref="R6 R11 R14:R15 R19:R20">
    <cfRule type="expression" dxfId="56" priority="62">
      <formula>IF($N$4&gt;100,TRUE())</formula>
    </cfRule>
  </conditionalFormatting>
  <conditionalFormatting sqref="R10">
    <cfRule type="expression" dxfId="55" priority="63">
      <formula>IF($N$4&lt;50,TRUE())</formula>
    </cfRule>
  </conditionalFormatting>
  <conditionalFormatting sqref="R10">
    <cfRule type="expression" dxfId="54" priority="64">
      <formula>IF($N$4&gt;100,TRUE())</formula>
    </cfRule>
  </conditionalFormatting>
  <conditionalFormatting sqref="R16">
    <cfRule type="expression" dxfId="53" priority="65">
      <formula>IF($N$4&lt;50,TRUE())</formula>
    </cfRule>
  </conditionalFormatting>
  <conditionalFormatting sqref="R16:R17">
    <cfRule type="expression" dxfId="52" priority="66">
      <formula>IF($N$4&gt;150,TRUE())</formula>
    </cfRule>
  </conditionalFormatting>
  <conditionalFormatting sqref="S3:S6 S9:S12 S14:S17 S19:S21">
    <cfRule type="expression" dxfId="51" priority="67">
      <formula>IF($N$5&lt;0,TRUE())</formula>
    </cfRule>
  </conditionalFormatting>
  <conditionalFormatting sqref="S3:S6 S9 S14 S16 S19:S20">
    <cfRule type="expression" dxfId="50" priority="68">
      <formula>IF($N$5&gt;20,TRUE())</formula>
    </cfRule>
  </conditionalFormatting>
  <conditionalFormatting sqref="S7:S8">
    <cfRule type="expression" dxfId="49" priority="69">
      <formula>IF($N$5&lt;0,TRUE())</formula>
    </cfRule>
  </conditionalFormatting>
  <conditionalFormatting sqref="S7:S8 S10:S12 S15 S17 S21">
    <cfRule type="expression" dxfId="48" priority="70">
      <formula>IF($N$5&gt;25,TRUE())</formula>
    </cfRule>
  </conditionalFormatting>
  <conditionalFormatting sqref="S13 S18">
    <cfRule type="expression" dxfId="47" priority="71">
      <formula>IF($N$5&lt;15,TRUE())</formula>
    </cfRule>
  </conditionalFormatting>
  <conditionalFormatting sqref="S13 S18">
    <cfRule type="expression" dxfId="46" priority="72">
      <formula>IF($N$5&gt;35,TRUE())</formula>
    </cfRule>
  </conditionalFormatting>
  <conditionalFormatting sqref="T3:T4 T14:T15 T8:T10">
    <cfRule type="expression" dxfId="45" priority="73">
      <formula>IF($N$10&lt;0,TRUE())</formula>
    </cfRule>
  </conditionalFormatting>
  <conditionalFormatting sqref="T3:T4 T8 T14:T15">
    <cfRule type="expression" dxfId="44" priority="74">
      <formula>IF($N$10&gt;50,TRUE())</formula>
    </cfRule>
  </conditionalFormatting>
  <conditionalFormatting sqref="T5 T13 T18 T20:T21">
    <cfRule type="expression" dxfId="43" priority="75">
      <formula>IF($N$10&lt;50,TRUE())</formula>
    </cfRule>
  </conditionalFormatting>
  <conditionalFormatting sqref="T5 T13 T21 T18">
    <cfRule type="expression" dxfId="42" priority="76">
      <formula>IF($N$10&gt;150,TRUE())</formula>
    </cfRule>
  </conditionalFormatting>
  <conditionalFormatting sqref="T6 T11:T12">
    <cfRule type="expression" dxfId="41" priority="77">
      <formula>IF($N$10&lt;100,TRUE())</formula>
    </cfRule>
  </conditionalFormatting>
  <conditionalFormatting sqref="T6 T11:T12">
    <cfRule type="expression" dxfId="40" priority="78">
      <formula>IF($N$10&gt;200,TRUE())</formula>
    </cfRule>
  </conditionalFormatting>
  <conditionalFormatting sqref="T7">
    <cfRule type="expression" dxfId="39" priority="79">
      <formula>IF($N$10&lt;0,TRUE())</formula>
    </cfRule>
  </conditionalFormatting>
  <conditionalFormatting sqref="T7 T9:T10 T20">
    <cfRule type="expression" dxfId="38" priority="80">
      <formula>IF($N$10&gt;100,TRUE())</formula>
    </cfRule>
  </conditionalFormatting>
  <conditionalFormatting sqref="T16">
    <cfRule type="expression" dxfId="37" priority="81">
      <formula>IF($N$10&lt;100,TRUE())</formula>
    </cfRule>
  </conditionalFormatting>
  <conditionalFormatting sqref="T16">
    <cfRule type="expression" dxfId="36" priority="82">
      <formula>IF($N$10&gt;400,TRUE())</formula>
    </cfRule>
  </conditionalFormatting>
  <conditionalFormatting sqref="T17">
    <cfRule type="expression" dxfId="35" priority="83">
      <formula>IF($N$10&lt;100,TRUE())</formula>
    </cfRule>
  </conditionalFormatting>
  <conditionalFormatting sqref="T17">
    <cfRule type="expression" dxfId="34" priority="84">
      <formula>IF($N$10&gt;300,TRUE())</formula>
    </cfRule>
  </conditionalFormatting>
  <conditionalFormatting sqref="T19">
    <cfRule type="expression" dxfId="33" priority="85">
      <formula>IF($N$10&lt;50,TRUE())</formula>
    </cfRule>
  </conditionalFormatting>
  <conditionalFormatting sqref="T19">
    <cfRule type="expression" dxfId="32" priority="86">
      <formula>IF($N$10&gt;100,TRUE())</formula>
    </cfRule>
  </conditionalFormatting>
  <conditionalFormatting sqref="U3 U5:U6 U10:U14 U17:U21">
    <cfRule type="expression" dxfId="31" priority="87">
      <formula>IF($N$9&lt;50,TRUE())</formula>
    </cfRule>
  </conditionalFormatting>
  <conditionalFormatting sqref="U3 U5:U6 U10:U14 U19 U16:U17">
    <cfRule type="expression" dxfId="30" priority="88">
      <formula>IF($N$9&gt;100,TRUE())</formula>
    </cfRule>
  </conditionalFormatting>
  <conditionalFormatting sqref="U4 U16">
    <cfRule type="expression" dxfId="29" priority="89">
      <formula>IF($N$9&lt;0,TRUE())</formula>
    </cfRule>
  </conditionalFormatting>
  <conditionalFormatting sqref="U4">
    <cfRule type="expression" dxfId="28" priority="90">
      <formula>IF($N$9&gt;50,TRUE())</formula>
    </cfRule>
  </conditionalFormatting>
  <conditionalFormatting sqref="U7:U9">
    <cfRule type="expression" dxfId="27" priority="91">
      <formula>IF($N$9&lt;50,TRUE())</formula>
    </cfRule>
  </conditionalFormatting>
  <conditionalFormatting sqref="U7:U9 U18 U20:U21">
    <cfRule type="expression" dxfId="26" priority="92">
      <formula>IF($N$9&gt;150,TRUE())</formula>
    </cfRule>
  </conditionalFormatting>
  <conditionalFormatting sqref="U15">
    <cfRule type="expression" dxfId="25" priority="93">
      <formula>IF($N$9&lt;0,TRUE())</formula>
    </cfRule>
  </conditionalFormatting>
  <conditionalFormatting sqref="U15">
    <cfRule type="expression" dxfId="24" priority="94">
      <formula>IF($N$9&gt;100,TRUE())</formula>
    </cfRule>
  </conditionalFormatting>
  <conditionalFormatting sqref="B4 N4">
    <cfRule type="cellIs" dxfId="23" priority="95" operator="lessThan">
      <formula>50</formula>
    </cfRule>
  </conditionalFormatting>
  <conditionalFormatting sqref="B4 N4">
    <cfRule type="cellIs" dxfId="22" priority="96" operator="greaterThan">
      <formula>150</formula>
    </cfRule>
  </conditionalFormatting>
  <conditionalFormatting sqref="B5 N5">
    <cfRule type="cellIs" dxfId="21" priority="97" operator="greaterThan">
      <formula>20</formula>
    </cfRule>
  </conditionalFormatting>
  <conditionalFormatting sqref="B10 N10">
    <cfRule type="cellIs" dxfId="20" priority="98" operator="greaterThan">
      <formula>250</formula>
    </cfRule>
  </conditionalFormatting>
  <conditionalFormatting sqref="B9 N9">
    <cfRule type="cellIs" dxfId="19" priority="99" operator="greaterThan">
      <formula>150</formula>
    </cfRule>
  </conditionalFormatting>
  <conditionalFormatting sqref="B6 N6">
    <cfRule type="cellIs" dxfId="18" priority="100" operator="greaterThan">
      <formula>50</formula>
    </cfRule>
  </conditionalFormatting>
  <conditionalFormatting sqref="B12 N12">
    <cfRule type="cellIs" dxfId="17" priority="101" operator="greaterThan">
      <formula>300</formula>
    </cfRule>
  </conditionalFormatting>
  <conditionalFormatting sqref="Q7">
    <cfRule type="expression" dxfId="16" priority="102">
      <formula>IF($N$20&lt;0,TRUE())</formula>
    </cfRule>
  </conditionalFormatting>
  <conditionalFormatting sqref="Q7">
    <cfRule type="expression" dxfId="15" priority="103">
      <formula>IF($N$20&gt;5,TRUE())</formula>
    </cfRule>
  </conditionalFormatting>
  <conditionalFormatting sqref="B8 N8">
    <cfRule type="cellIs" dxfId="14" priority="104" operator="notBetween">
      <formula>0</formula>
      <formula>500</formula>
    </cfRule>
  </conditionalFormatting>
  <conditionalFormatting sqref="Q21">
    <cfRule type="expression" dxfId="13" priority="105">
      <formula>IF($N$20&lt;8,TRUE())</formula>
    </cfRule>
  </conditionalFormatting>
  <conditionalFormatting sqref="Q21">
    <cfRule type="expression" dxfId="12" priority="106">
      <formula>IF($N$20&gt;15,TRUE())</formula>
    </cfRule>
  </conditionalFormatting>
  <conditionalFormatting sqref="R12">
    <cfRule type="expression" dxfId="11" priority="107">
      <formula>IF($N$4&lt;50,TRUE())</formula>
    </cfRule>
  </conditionalFormatting>
  <conditionalFormatting sqref="R12">
    <cfRule type="expression" dxfId="10" priority="108">
      <formula>IF($N$4&gt;150,TRUE())</formula>
    </cfRule>
  </conditionalFormatting>
  <conditionalFormatting sqref="B29">
    <cfRule type="cellIs" dxfId="9" priority="109" operator="greaterThan">
      <formula>20</formula>
    </cfRule>
  </conditionalFormatting>
  <conditionalFormatting sqref="B34">
    <cfRule type="cellIs" dxfId="8" priority="110" operator="greaterThan">
      <formula>250</formula>
    </cfRule>
  </conditionalFormatting>
  <conditionalFormatting sqref="B33">
    <cfRule type="cellIs" dxfId="7" priority="111" operator="greaterThan">
      <formula>150</formula>
    </cfRule>
  </conditionalFormatting>
  <conditionalFormatting sqref="B30">
    <cfRule type="cellIs" dxfId="6" priority="112" operator="greaterThan">
      <formula>50</formula>
    </cfRule>
  </conditionalFormatting>
  <conditionalFormatting sqref="B36">
    <cfRule type="cellIs" dxfId="5" priority="113" operator="greaterThan">
      <formula>300</formula>
    </cfRule>
  </conditionalFormatting>
  <conditionalFormatting sqref="B32">
    <cfRule type="cellIs" dxfId="4" priority="114" operator="notBetween">
      <formula>0</formula>
      <formula>500</formula>
    </cfRule>
  </conditionalFormatting>
  <conditionalFormatting sqref="E32">
    <cfRule type="cellIs" dxfId="3" priority="18" operator="greaterThan">
      <formula>50</formula>
    </cfRule>
  </conditionalFormatting>
  <conditionalFormatting sqref="E38">
    <cfRule type="cellIs" dxfId="2" priority="19" operator="greaterThan">
      <formula>300</formula>
    </cfRule>
  </conditionalFormatting>
  <conditionalFormatting sqref="H32">
    <cfRule type="cellIs" dxfId="1" priority="5" operator="greaterThan">
      <formula>50</formula>
    </cfRule>
  </conditionalFormatting>
  <conditionalFormatting sqref="H38">
    <cfRule type="cellIs" dxfId="0" priority="6" operator="greaterThan">
      <formula>300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33973AA-5497-4783-9191-D9CF1EB54357}">
          <x14:formula1>
            <xm:f>Tabelle2!$A$50:$A$51</xm:f>
          </x14:formula1>
          <xm:sqref>E25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2C22D-51BB-4EF1-8D1F-FFE8F6098EDF}">
  <dimension ref="A1:F51"/>
  <sheetViews>
    <sheetView zoomScale="160" zoomScaleNormal="160" workbookViewId="0">
      <selection activeCell="B9" sqref="B9"/>
    </sheetView>
  </sheetViews>
  <sheetFormatPr baseColWidth="10" defaultRowHeight="12.75" x14ac:dyDescent="0.2"/>
  <cols>
    <col min="1" max="1" width="26.5703125" bestFit="1" customWidth="1"/>
  </cols>
  <sheetData>
    <row r="1" spans="1:6" x14ac:dyDescent="0.2">
      <c r="A1" s="30">
        <v>1</v>
      </c>
      <c r="B1" s="30">
        <v>1.0038</v>
      </c>
      <c r="E1" t="s">
        <v>127</v>
      </c>
      <c r="F1" t="s">
        <v>128</v>
      </c>
    </row>
    <row r="2" spans="1:6" x14ac:dyDescent="0.2">
      <c r="A2" s="30">
        <v>2</v>
      </c>
      <c r="B2" s="30">
        <v>1.0092000000000001</v>
      </c>
      <c r="E2" s="44">
        <v>0.36</v>
      </c>
      <c r="F2" s="45">
        <v>1</v>
      </c>
    </row>
    <row r="3" spans="1:6" x14ac:dyDescent="0.2">
      <c r="A3" s="30">
        <v>3</v>
      </c>
      <c r="B3" s="30">
        <v>1.0145999999999999</v>
      </c>
      <c r="E3" s="44">
        <v>1.36</v>
      </c>
      <c r="F3" s="45">
        <v>1.0049999999999999</v>
      </c>
    </row>
    <row r="4" spans="1:6" x14ac:dyDescent="0.2">
      <c r="A4" s="30">
        <v>4</v>
      </c>
      <c r="B4" s="15">
        <v>1.02</v>
      </c>
      <c r="E4" s="44">
        <v>2.3639999999999999</v>
      </c>
      <c r="F4" s="45">
        <v>1.01</v>
      </c>
    </row>
    <row r="5" spans="1:6" x14ac:dyDescent="0.2">
      <c r="A5" s="30">
        <v>5</v>
      </c>
      <c r="B5" s="30">
        <v>1.0255000000000001</v>
      </c>
      <c r="E5" s="44">
        <v>3.3740000000000001</v>
      </c>
      <c r="F5" s="45">
        <v>1.0149999999999999</v>
      </c>
    </row>
    <row r="6" spans="1:6" x14ac:dyDescent="0.2">
      <c r="A6" s="30">
        <v>6</v>
      </c>
      <c r="B6" s="30">
        <v>1.0308999999999999</v>
      </c>
      <c r="E6" s="44">
        <v>4.3879999999999999</v>
      </c>
      <c r="F6" s="45">
        <v>1.02</v>
      </c>
    </row>
    <row r="7" spans="1:6" x14ac:dyDescent="0.2">
      <c r="A7" s="30">
        <v>7</v>
      </c>
      <c r="B7" s="30">
        <v>1.0365</v>
      </c>
      <c r="E7" s="44">
        <v>5.4080000000000004</v>
      </c>
      <c r="F7" s="45">
        <v>1.0249999999999999</v>
      </c>
    </row>
    <row r="8" spans="1:6" x14ac:dyDescent="0.2">
      <c r="A8" s="30">
        <v>8</v>
      </c>
      <c r="B8" s="30">
        <v>1.042</v>
      </c>
      <c r="E8" s="44">
        <v>6.4329999999999998</v>
      </c>
      <c r="F8" s="45">
        <v>1.03</v>
      </c>
    </row>
    <row r="9" spans="1:6" x14ac:dyDescent="0.2">
      <c r="A9" s="30">
        <v>9</v>
      </c>
      <c r="B9" s="30">
        <v>1.0476000000000001</v>
      </c>
      <c r="E9" s="44">
        <v>7.4640000000000004</v>
      </c>
      <c r="F9" s="45">
        <v>1.0349999999999999</v>
      </c>
    </row>
    <row r="10" spans="1:6" x14ac:dyDescent="0.2">
      <c r="A10" s="30">
        <v>10</v>
      </c>
      <c r="B10" s="30">
        <v>1.0531999999999999</v>
      </c>
      <c r="E10" s="44">
        <v>8.49</v>
      </c>
      <c r="F10" s="45">
        <v>1.04</v>
      </c>
    </row>
    <row r="11" spans="1:6" x14ac:dyDescent="0.2">
      <c r="A11" s="30">
        <v>11</v>
      </c>
      <c r="B11" s="30">
        <v>1.0589999999999999</v>
      </c>
      <c r="E11" s="44">
        <v>9.51</v>
      </c>
      <c r="F11" s="45">
        <v>1.0449999999999999</v>
      </c>
    </row>
    <row r="12" spans="1:6" x14ac:dyDescent="0.2">
      <c r="A12" s="30">
        <v>12</v>
      </c>
      <c r="B12" s="30">
        <v>1.0647</v>
      </c>
      <c r="E12" s="44">
        <v>10.52</v>
      </c>
      <c r="F12" s="45">
        <v>1.05</v>
      </c>
    </row>
    <row r="13" spans="1:6" x14ac:dyDescent="0.2">
      <c r="A13" s="30">
        <v>13</v>
      </c>
      <c r="B13" s="30">
        <v>1.0705</v>
      </c>
      <c r="E13" s="44">
        <v>11.52</v>
      </c>
      <c r="F13" s="45">
        <v>1.0549999999999999</v>
      </c>
    </row>
    <row r="14" spans="1:6" x14ac:dyDescent="0.2">
      <c r="A14" s="30">
        <v>14</v>
      </c>
      <c r="B14" s="30">
        <v>1.0764</v>
      </c>
      <c r="E14" s="44">
        <v>12.51</v>
      </c>
      <c r="F14" s="45">
        <v>1.06</v>
      </c>
    </row>
    <row r="15" spans="1:6" x14ac:dyDescent="0.2">
      <c r="A15" s="30">
        <v>15</v>
      </c>
      <c r="B15" s="30">
        <v>1.0824</v>
      </c>
      <c r="E15" s="44">
        <v>13.5</v>
      </c>
      <c r="F15" s="45">
        <v>1.0649999999999999</v>
      </c>
    </row>
    <row r="16" spans="1:6" x14ac:dyDescent="0.2">
      <c r="A16" s="30">
        <v>16</v>
      </c>
      <c r="B16" s="30">
        <v>1.0884</v>
      </c>
      <c r="E16" s="44">
        <v>14.494999999999999</v>
      </c>
      <c r="F16" s="45">
        <v>1.07</v>
      </c>
    </row>
    <row r="17" spans="1:6" x14ac:dyDescent="0.2">
      <c r="A17" s="30">
        <v>17</v>
      </c>
      <c r="B17" s="30">
        <v>1.0946</v>
      </c>
      <c r="E17" s="44">
        <v>15.484999999999999</v>
      </c>
      <c r="F17" s="45">
        <v>1.075</v>
      </c>
    </row>
    <row r="18" spans="1:6" x14ac:dyDescent="0.2">
      <c r="A18" s="30">
        <v>18</v>
      </c>
      <c r="B18" s="30">
        <v>1.1008</v>
      </c>
      <c r="E18" s="44">
        <v>16.47</v>
      </c>
      <c r="F18" s="45">
        <v>1.08</v>
      </c>
    </row>
    <row r="19" spans="1:6" x14ac:dyDescent="0.2">
      <c r="A19" s="30">
        <v>19</v>
      </c>
      <c r="B19" s="30">
        <v>1.1071</v>
      </c>
      <c r="E19" s="44">
        <v>17.45</v>
      </c>
      <c r="F19" s="45">
        <v>1.085</v>
      </c>
    </row>
    <row r="20" spans="1:6" x14ac:dyDescent="0.2">
      <c r="A20" s="30">
        <v>20</v>
      </c>
      <c r="B20" s="30">
        <v>1.1133999999999999</v>
      </c>
      <c r="E20" s="44">
        <v>18.43</v>
      </c>
      <c r="F20" s="45">
        <v>1.0900000000000001</v>
      </c>
    </row>
    <row r="21" spans="1:6" x14ac:dyDescent="0.2">
      <c r="A21" s="30">
        <v>21</v>
      </c>
      <c r="B21" s="30">
        <v>1.1198999999999999</v>
      </c>
      <c r="E21" s="44">
        <v>19.41</v>
      </c>
      <c r="F21" s="45">
        <v>1.095</v>
      </c>
    </row>
    <row r="22" spans="1:6" x14ac:dyDescent="0.2">
      <c r="A22" s="30">
        <v>22</v>
      </c>
      <c r="B22" s="30">
        <v>1.1263000000000001</v>
      </c>
      <c r="E22" s="44">
        <v>20.39</v>
      </c>
      <c r="F22" s="45">
        <v>1.1000000000000001</v>
      </c>
    </row>
    <row r="23" spans="1:6" x14ac:dyDescent="0.2">
      <c r="A23" s="30">
        <v>23</v>
      </c>
      <c r="B23" s="30">
        <v>1.1329</v>
      </c>
      <c r="E23" s="44">
        <v>21.36</v>
      </c>
      <c r="F23" s="45">
        <v>1.105</v>
      </c>
    </row>
    <row r="24" spans="1:6" x14ac:dyDescent="0.2">
      <c r="A24" s="30">
        <v>24</v>
      </c>
      <c r="B24" s="30">
        <v>1.1395</v>
      </c>
      <c r="E24" s="44">
        <v>22.33</v>
      </c>
      <c r="F24" s="45">
        <v>1.1100000000000001</v>
      </c>
    </row>
    <row r="25" spans="1:6" x14ac:dyDescent="0.2">
      <c r="A25" s="30">
        <v>25</v>
      </c>
      <c r="B25" s="30">
        <v>1.1462000000000001</v>
      </c>
      <c r="E25" s="44">
        <v>23.29</v>
      </c>
      <c r="F25" s="45">
        <v>1.115</v>
      </c>
    </row>
    <row r="26" spans="1:6" x14ac:dyDescent="0.2">
      <c r="A26" s="30">
        <v>26</v>
      </c>
      <c r="B26" s="30">
        <v>1.1529</v>
      </c>
      <c r="E26" s="44">
        <v>24.25</v>
      </c>
      <c r="F26" s="45">
        <v>1.1200000000000001</v>
      </c>
    </row>
    <row r="27" spans="1:6" x14ac:dyDescent="0.2">
      <c r="A27" s="30">
        <v>27</v>
      </c>
      <c r="B27" s="30">
        <v>1.1597</v>
      </c>
      <c r="E27" s="44">
        <v>25.22</v>
      </c>
      <c r="F27" s="45">
        <v>1.125</v>
      </c>
    </row>
    <row r="28" spans="1:6" x14ac:dyDescent="0.2">
      <c r="A28" s="30">
        <v>28</v>
      </c>
      <c r="B28" s="30">
        <v>1.1665000000000001</v>
      </c>
      <c r="E28" s="44">
        <v>26.2</v>
      </c>
      <c r="F28" s="45">
        <v>1.1299999999999999</v>
      </c>
    </row>
    <row r="29" spans="1:6" x14ac:dyDescent="0.2">
      <c r="A29" s="30">
        <v>29</v>
      </c>
      <c r="B29" s="30">
        <v>1.1735</v>
      </c>
      <c r="E29" s="44">
        <v>27.18</v>
      </c>
      <c r="F29" s="45">
        <v>1.135</v>
      </c>
    </row>
    <row r="30" spans="1:6" x14ac:dyDescent="0.2">
      <c r="A30" s="30">
        <v>30</v>
      </c>
      <c r="B30" s="30">
        <v>1.1805000000000001</v>
      </c>
      <c r="E30" s="44">
        <v>28.18</v>
      </c>
      <c r="F30" s="45">
        <v>1.1399999999999999</v>
      </c>
    </row>
    <row r="31" spans="1:6" x14ac:dyDescent="0.2">
      <c r="A31" s="30">
        <v>35</v>
      </c>
      <c r="B31" s="30">
        <v>1.216</v>
      </c>
      <c r="E31" s="44">
        <v>29.17</v>
      </c>
      <c r="F31" s="45">
        <v>1.145</v>
      </c>
    </row>
    <row r="32" spans="1:6" x14ac:dyDescent="0.2">
      <c r="A32" s="30">
        <v>40</v>
      </c>
      <c r="B32" s="30">
        <v>1.254</v>
      </c>
      <c r="E32" s="44">
        <v>30.14</v>
      </c>
      <c r="F32" s="45">
        <v>1.1499999999999999</v>
      </c>
    </row>
    <row r="33" spans="1:6" x14ac:dyDescent="0.2">
      <c r="A33" s="30">
        <v>45</v>
      </c>
      <c r="B33" s="30">
        <v>1.2929999999999999</v>
      </c>
      <c r="E33" s="44">
        <v>31.14</v>
      </c>
      <c r="F33" s="45">
        <v>1.155</v>
      </c>
    </row>
    <row r="34" spans="1:6" x14ac:dyDescent="0.2">
      <c r="A34" s="30">
        <v>50</v>
      </c>
      <c r="B34" s="30">
        <v>1.335</v>
      </c>
      <c r="E34" s="44">
        <v>32.14</v>
      </c>
      <c r="F34" s="45">
        <v>1.1599999999999999</v>
      </c>
    </row>
    <row r="35" spans="1:6" x14ac:dyDescent="0.2">
      <c r="A35" s="30">
        <v>55</v>
      </c>
      <c r="B35" s="30">
        <v>1.379</v>
      </c>
      <c r="E35" s="44">
        <v>33.159999999999997</v>
      </c>
      <c r="F35" s="45">
        <v>1.165</v>
      </c>
    </row>
    <row r="36" spans="1:6" x14ac:dyDescent="0.2">
      <c r="A36" s="30">
        <v>60</v>
      </c>
      <c r="B36" s="30">
        <v>1.4259999999999999</v>
      </c>
      <c r="E36" s="44">
        <v>34.18</v>
      </c>
      <c r="F36" s="45">
        <v>1.17</v>
      </c>
    </row>
    <row r="37" spans="1:6" x14ac:dyDescent="0.2">
      <c r="A37" s="30">
        <v>65</v>
      </c>
      <c r="B37" s="30">
        <v>1.476</v>
      </c>
      <c r="E37" s="44">
        <v>35.200000000000003</v>
      </c>
      <c r="F37" s="45">
        <v>1.175</v>
      </c>
    </row>
    <row r="38" spans="1:6" x14ac:dyDescent="0.2">
      <c r="A38" s="30">
        <v>70</v>
      </c>
      <c r="B38" s="30">
        <v>1.526</v>
      </c>
      <c r="E38" s="44">
        <v>36.229999999999997</v>
      </c>
      <c r="F38" s="45">
        <v>1.18</v>
      </c>
    </row>
    <row r="39" spans="1:6" x14ac:dyDescent="0.2">
      <c r="A39" s="30">
        <v>75</v>
      </c>
      <c r="B39" s="30">
        <v>1.579</v>
      </c>
      <c r="E39" s="44">
        <v>37.270000000000003</v>
      </c>
      <c r="F39" s="45">
        <v>1.1850000000000001</v>
      </c>
    </row>
    <row r="40" spans="1:6" x14ac:dyDescent="0.2">
      <c r="A40" s="30">
        <v>80</v>
      </c>
      <c r="B40" s="30">
        <v>1.633</v>
      </c>
      <c r="E40" s="44">
        <v>38.32</v>
      </c>
      <c r="F40" s="45">
        <v>1.19</v>
      </c>
    </row>
    <row r="41" spans="1:6" x14ac:dyDescent="0.2">
      <c r="A41" s="30">
        <v>85</v>
      </c>
      <c r="B41" s="30">
        <v>1.6890000000000001</v>
      </c>
      <c r="E41" s="44">
        <v>39.369999999999997</v>
      </c>
      <c r="F41" s="45">
        <v>1.1950000000000001</v>
      </c>
    </row>
    <row r="42" spans="1:6" x14ac:dyDescent="0.2">
      <c r="A42" s="30">
        <v>90</v>
      </c>
      <c r="B42" s="30">
        <v>1.746</v>
      </c>
      <c r="E42" s="44">
        <v>40</v>
      </c>
      <c r="F42" s="45">
        <v>1.198</v>
      </c>
    </row>
    <row r="43" spans="1:6" x14ac:dyDescent="0.2">
      <c r="A43" s="30">
        <v>92</v>
      </c>
      <c r="B43" s="30">
        <v>1.77</v>
      </c>
    </row>
    <row r="44" spans="1:6" x14ac:dyDescent="0.2">
      <c r="A44" s="30">
        <v>94</v>
      </c>
      <c r="B44" s="30">
        <v>1.794</v>
      </c>
      <c r="E44" s="46">
        <v>9</v>
      </c>
      <c r="F44" s="29">
        <f>0.005*E44+0.9976</f>
        <v>1.0426</v>
      </c>
    </row>
    <row r="45" spans="1:6" x14ac:dyDescent="0.2">
      <c r="A45" s="30">
        <v>96</v>
      </c>
      <c r="B45" s="30">
        <v>1.819</v>
      </c>
    </row>
    <row r="46" spans="1:6" x14ac:dyDescent="0.2">
      <c r="A46" s="30">
        <v>98</v>
      </c>
      <c r="B46" s="30">
        <v>1.8440000000000001</v>
      </c>
    </row>
    <row r="47" spans="1:6" x14ac:dyDescent="0.2">
      <c r="A47" s="30">
        <v>100</v>
      </c>
      <c r="B47" s="30">
        <v>1.87</v>
      </c>
    </row>
    <row r="50" spans="1:1" x14ac:dyDescent="0.2">
      <c r="A50" t="s">
        <v>141</v>
      </c>
    </row>
    <row r="51" spans="1:1" ht="25.5" x14ac:dyDescent="0.2">
      <c r="A51" s="81" t="s">
        <v>142</v>
      </c>
    </row>
  </sheetData>
  <phoneticPr fontId="8" type="noConversion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Bastian Werner</cp:lastModifiedBy>
  <dcterms:created xsi:type="dcterms:W3CDTF">2019-01-06T22:46:59Z</dcterms:created>
  <dcterms:modified xsi:type="dcterms:W3CDTF">2020-10-23T10:39:48Z</dcterms:modified>
</cp:coreProperties>
</file>