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lo\Documents\Eltern\Tilo\Kochen\Bier brauen\Programme\"/>
    </mc:Choice>
  </mc:AlternateContent>
  <bookViews>
    <workbookView xWindow="0" yWindow="0" windowWidth="23040" windowHeight="9384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1" l="1"/>
  <c r="E31" i="1"/>
  <c r="E30" i="1"/>
  <c r="C26" i="1"/>
  <c r="L26" i="1" s="1"/>
  <c r="C18" i="1"/>
  <c r="L18" i="1" s="1"/>
  <c r="H10" i="1"/>
  <c r="E10" i="1"/>
  <c r="C14" i="1" s="1"/>
  <c r="D10" i="1"/>
  <c r="C13" i="1" s="1"/>
  <c r="C10" i="1"/>
  <c r="B10" i="1"/>
  <c r="H9" i="1"/>
  <c r="G16" i="1" s="1"/>
  <c r="E9" i="1"/>
  <c r="D9" i="1"/>
  <c r="C9" i="1"/>
  <c r="B9" i="1"/>
  <c r="N8" i="1"/>
  <c r="L8" i="1"/>
  <c r="K8" i="1"/>
  <c r="J8" i="1"/>
  <c r="I8" i="1"/>
  <c r="E32" i="1" l="1"/>
  <c r="C21" i="1"/>
  <c r="B26" i="1" s="1"/>
  <c r="K26" i="1" s="1"/>
  <c r="G22" i="1" s="1"/>
  <c r="H8" i="1"/>
  <c r="M8" i="1"/>
  <c r="C31" i="1"/>
  <c r="D18" i="1"/>
  <c r="C30" i="1"/>
  <c r="B18" i="1"/>
  <c r="E18" i="1"/>
  <c r="D31" i="1"/>
  <c r="D30" i="1"/>
  <c r="C22" i="1"/>
  <c r="G24" i="1"/>
  <c r="I26" i="1" l="1"/>
  <c r="D32" i="1"/>
  <c r="D26" i="1"/>
  <c r="C32" i="1"/>
  <c r="E26" i="1"/>
  <c r="N18" i="1"/>
  <c r="I18" i="1"/>
  <c r="K18" i="1"/>
  <c r="G14" i="1" s="1"/>
  <c r="C24" i="1"/>
  <c r="G26" i="1" s="1"/>
  <c r="J26" i="1" s="1"/>
  <c r="C23" i="1"/>
  <c r="N26" i="1" l="1"/>
  <c r="H26" i="1"/>
  <c r="M26" i="1"/>
  <c r="C16" i="1"/>
  <c r="C15" i="1"/>
  <c r="F26" i="1"/>
  <c r="F30" i="1" l="1"/>
  <c r="F31" i="1"/>
  <c r="G30" i="1"/>
  <c r="F18" i="1"/>
  <c r="G31" i="1"/>
  <c r="G18" i="1"/>
  <c r="J18" i="1" s="1"/>
  <c r="G32" i="1" l="1"/>
  <c r="H18" i="1"/>
  <c r="M18" i="1"/>
  <c r="F32" i="1"/>
</calcChain>
</file>

<file path=xl/comments1.xml><?xml version="1.0" encoding="utf-8"?>
<comments xmlns="http://schemas.openxmlformats.org/spreadsheetml/2006/main">
  <authors>
    <author>Tilo</author>
  </authors>
  <commentList>
    <comment ref="C52" authorId="0" shapeId="0">
      <text>
        <r>
          <rPr>
            <b/>
            <sz val="9"/>
            <color indexed="81"/>
            <rFont val="Segoe UI"/>
            <family val="2"/>
          </rPr>
          <t>Wert geändert für korrekte Anzeige des farbigen Kreises ;-)</t>
        </r>
      </text>
    </comment>
  </commentList>
</comments>
</file>

<file path=xl/sharedStrings.xml><?xml version="1.0" encoding="utf-8"?>
<sst xmlns="http://schemas.openxmlformats.org/spreadsheetml/2006/main" count="135" uniqueCount="91">
  <si>
    <t>1. Schritt: Bierstil auswählen</t>
  </si>
  <si>
    <t>Legende:</t>
  </si>
  <si>
    <r>
      <rPr>
        <sz val="10"/>
        <color rgb="FFFFFF99"/>
        <rFont val="Webdings"/>
        <family val="1"/>
        <charset val="2"/>
      </rPr>
      <t>n</t>
    </r>
    <r>
      <rPr>
        <sz val="10"/>
        <rFont val="Webdings"/>
        <family val="1"/>
        <charset val="2"/>
      </rPr>
      <t xml:space="preserve"> </t>
    </r>
    <r>
      <rPr>
        <sz val="10"/>
        <rFont val="Calibri"/>
        <family val="2"/>
        <scheme val="minor"/>
      </rPr>
      <t xml:space="preserve"> zu niedrig für den gewählten Bierstil - Rohwasser Aufbereiten wie unten empfohlen, Magnesium wird beibehalten und nicht berechnet</t>
    </r>
  </si>
  <si>
    <t>Märzen, Festbier</t>
  </si>
  <si>
    <t>2. Schritt: Wasserwerte Rohwasser eingeben (mg/l)</t>
  </si>
  <si>
    <t>Calcium</t>
  </si>
  <si>
    <t>Magnesium</t>
  </si>
  <si>
    <t>Sulfat</t>
  </si>
  <si>
    <t>Chlorid</t>
  </si>
  <si>
    <t>Natrium</t>
  </si>
  <si>
    <t>HCO3</t>
  </si>
  <si>
    <t>Restalkalität</t>
  </si>
  <si>
    <t>Gesamt-Härte</t>
  </si>
  <si>
    <t>Carbonat-Härte</t>
  </si>
  <si>
    <t>Calcium-Härte</t>
  </si>
  <si>
    <t>Magnesium-Härte</t>
  </si>
  <si>
    <t>Nichtcarbonat-Härte</t>
  </si>
  <si>
    <t>SO4/Cl-Verhältnis</t>
  </si>
  <si>
    <t>Für den gewählten Bierstil   max</t>
  </si>
  <si>
    <t>-</t>
  </si>
  <si>
    <t>empfohlene Werte    min</t>
  </si>
  <si>
    <t>Aufbereitung des Rohwassers - Vorschlag 1</t>
  </si>
  <si>
    <t>Zugabe von</t>
  </si>
  <si>
    <t>CaSO4</t>
  </si>
  <si>
    <t xml:space="preserve">Restalkalität nach CaSO4- </t>
  </si>
  <si>
    <t>CaCl2</t>
  </si>
  <si>
    <t>und CaCl2-Zugabe:</t>
  </si>
  <si>
    <t>Milchsäure</t>
  </si>
  <si>
    <t>mittlere empfohlene RA</t>
  </si>
  <si>
    <t>NaHCO3</t>
  </si>
  <si>
    <t>beim gewählten Bierstil:</t>
  </si>
  <si>
    <t>Ergebnis der Aufbereitung:</t>
  </si>
  <si>
    <t>Aufbereitung des Rohwassers - Vorschlag 2</t>
  </si>
  <si>
    <t>NaCl</t>
  </si>
  <si>
    <t>und NaCl-Zugabe:</t>
  </si>
  <si>
    <t>Ja, ich möchte mein Wasser aufbereiten und wähle</t>
  </si>
  <si>
    <t>Vorschlag 1</t>
  </si>
  <si>
    <t>Hauptguss</t>
  </si>
  <si>
    <t>Nachguss</t>
  </si>
  <si>
    <t>Summe</t>
  </si>
  <si>
    <t>© BrauSachse 03/2021</t>
  </si>
  <si>
    <t>Quellenangaben:</t>
  </si>
  <si>
    <t xml:space="preserve">1) Staudt, Andreas: Von der Wasseranalyse zum Brauwasser, Brau!Magazin Frühjahr 2015 </t>
  </si>
  <si>
    <t>2) Göpper, Stefan: Irgendwie seltsam - Wie ich lernte, mein Brauwasser zu lieben, Brau!Magazin Frühjahr 2015</t>
  </si>
  <si>
    <t>3) Wolf, Sandro: Wasseraufbereitung</t>
  </si>
  <si>
    <r>
      <rPr>
        <sz val="11"/>
        <color theme="1"/>
        <rFont val="Wingdings"/>
        <charset val="2"/>
      </rPr>
      <t xml:space="preserve">ß </t>
    </r>
    <r>
      <rPr>
        <sz val="11"/>
        <color theme="1"/>
        <rFont val="Calibri"/>
        <family val="2"/>
        <scheme val="minor"/>
      </rPr>
      <t>auf dieser Idee basiert der Rechner</t>
    </r>
  </si>
  <si>
    <t>Empfohlene Werte für Brauwasser bei ausgewählten Bierstilen (aus Staudt, 2015)</t>
  </si>
  <si>
    <t>Empfohlene Werte</t>
  </si>
  <si>
    <t>RA °dH min</t>
  </si>
  <si>
    <t>RA °dH max</t>
  </si>
  <si>
    <t>Ca min</t>
  </si>
  <si>
    <t>Ca max</t>
  </si>
  <si>
    <t>Mg min</t>
  </si>
  <si>
    <t>Mg max</t>
  </si>
  <si>
    <t>SO4 min</t>
  </si>
  <si>
    <t>SO4 max</t>
  </si>
  <si>
    <t>Cl min</t>
  </si>
  <si>
    <t>Cl max</t>
  </si>
  <si>
    <t>Helles Lager</t>
  </si>
  <si>
    <t>Böhm. Pils</t>
  </si>
  <si>
    <t>Dt. Pils, Premiun Lager</t>
  </si>
  <si>
    <t>Dortm. Export</t>
  </si>
  <si>
    <t>Dunkel, Schwarzbier</t>
  </si>
  <si>
    <t>Maibock, Heller Bock, Doppelbock</t>
  </si>
  <si>
    <t>Dunkler Bock</t>
  </si>
  <si>
    <t>Pale Ale, Ordinary Bitter</t>
  </si>
  <si>
    <t>Mild Ale, Best Bitter, Scotch Ale</t>
  </si>
  <si>
    <t>Irish Dry Stout, Porter</t>
  </si>
  <si>
    <t>Weizenbier, Weizenbock</t>
  </si>
  <si>
    <t>Wit, Cream Ale, Kölsch</t>
  </si>
  <si>
    <t>American Pale Ale, American IPA</t>
  </si>
  <si>
    <t>Altbier, ESB, English IPA</t>
  </si>
  <si>
    <t>Extra / Sweet / Oatmeal Stout</t>
  </si>
  <si>
    <t>Belgisches Ale, Triple, Blonde</t>
  </si>
  <si>
    <t>Brown / Strong Scotch Ale, Barleywine</t>
  </si>
  <si>
    <t>Russian Imperial Stout</t>
  </si>
  <si>
    <t>Wasserrechner nach Bierstil - Version 1.0</t>
  </si>
  <si>
    <r>
      <rPr>
        <sz val="10"/>
        <color rgb="FFFF0000"/>
        <rFont val="Webdings"/>
        <family val="1"/>
        <charset val="2"/>
      </rPr>
      <t>n</t>
    </r>
    <r>
      <rPr>
        <sz val="10"/>
        <rFont val="Webdings"/>
        <family val="1"/>
        <charset val="2"/>
      </rPr>
      <t xml:space="preserve"> </t>
    </r>
    <r>
      <rPr>
        <sz val="10"/>
        <rFont val="Calibri"/>
        <family val="2"/>
        <scheme val="minor"/>
      </rPr>
      <t xml:space="preserve"> zu hoch für den gewählten Bierstil - Rohwasser verschneiden mit dest. Wasser, Osmosewasser benutzen o.ä.; bei errechneten Zugaben weniger geben</t>
    </r>
  </si>
  <si>
    <r>
      <t xml:space="preserve">Erklärungen und Hilfe
</t>
    </r>
    <r>
      <rPr>
        <sz val="10"/>
        <color theme="1"/>
        <rFont val="Calibri"/>
        <family val="2"/>
        <scheme val="minor"/>
      </rPr>
      <t>zuerst ganz links den gewünschten Bierstil auswählen</t>
    </r>
  </si>
  <si>
    <r>
      <rPr>
        <sz val="10"/>
        <color rgb="FF00B050"/>
        <rFont val="Webdings"/>
        <family val="1"/>
        <charset val="2"/>
      </rPr>
      <t xml:space="preserve">n </t>
    </r>
    <r>
      <rPr>
        <sz val="10"/>
        <rFont val="Calibri"/>
        <family val="2"/>
        <scheme val="minor"/>
      </rPr>
      <t xml:space="preserve"> entspricht dem für diesen Bierstil empfohlenen Bereich</t>
    </r>
  </si>
  <si>
    <t>Links sollen in die hellen Felder die Werte des Rohwassers eingetragen werden. Alles andere berechnet sich von allein. ;-) Änderungen der automatisch errechneten Zusätze können per Hand neben den vom Rechner vorgeschlagenen Mengen eingegeben werden, um letztere zu ersetzen. Rücksetzung der "händisch" eingegebenen Mengen erfolgt durch Eingabe von 0 (Null) in das jeweilige Feld.</t>
  </si>
  <si>
    <t>errechnet</t>
  </si>
  <si>
    <r>
      <t xml:space="preserve">Eingabe per Hand </t>
    </r>
    <r>
      <rPr>
        <sz val="10"/>
        <color theme="1"/>
        <rFont val="Calibri"/>
        <family val="2"/>
        <scheme val="minor"/>
      </rPr>
      <t>- hier eingegebene Mengen ersetzen die errechneten, zum Zurücksetzen einfach 0 (Null) eingeben</t>
    </r>
  </si>
  <si>
    <r>
      <rPr>
        <b/>
        <sz val="10"/>
        <color theme="1"/>
        <rFont val="Calibri"/>
        <family val="2"/>
        <scheme val="minor"/>
      </rPr>
      <t>Rechenweg bei Vorschlag 1:</t>
    </r>
    <r>
      <rPr>
        <sz val="10"/>
        <color theme="1"/>
        <rFont val="Calibri"/>
        <family val="2"/>
        <scheme val="minor"/>
      </rPr>
      <t xml:space="preserve">
1. Anpassung SO4 mit CaSO4x2H2O
2. Anpassung Cl mit CaCl2x2H2O
3. Anpassung an mittlere empfohlene Restalkalität mit Milchsäure 80% oder NaHCO3
Da hier zwei Calciumsalze verwendet werden, könnte die Ca-Konzentration zu hoch werden. Alternative bietet Variante 2, wo NaCl statt CaCl2 verwendet wird.
Magnesium wird nicht angepasst
</t>
    </r>
  </si>
  <si>
    <t>über der Wahrnehmungsschwelle</t>
  </si>
  <si>
    <r>
      <rPr>
        <b/>
        <sz val="10"/>
        <color theme="1"/>
        <rFont val="Calibri"/>
        <family val="2"/>
        <scheme val="minor"/>
      </rPr>
      <t>Rechenweg bei Vorschlag 2:</t>
    </r>
    <r>
      <rPr>
        <sz val="10"/>
        <color theme="1"/>
        <rFont val="Calibri"/>
        <family val="2"/>
        <scheme val="minor"/>
      </rPr>
      <t xml:space="preserve">
1. Anpassung SO4 mit CaSO4x2H2O
2. Anpassung Cl mit NaCl
3. Anpassung an mittlere empfohlene Restalkalität mit Milchsäure 80% oder NaHCO3
Magnesium wird nicht angepasst
</t>
    </r>
  </si>
  <si>
    <r>
      <rPr>
        <b/>
        <sz val="10"/>
        <color theme="1"/>
        <rFont val="Calibri"/>
        <family val="2"/>
        <scheme val="minor"/>
      </rPr>
      <t>Legende für Chemikalien:</t>
    </r>
    <r>
      <rPr>
        <sz val="10"/>
        <color theme="1"/>
        <rFont val="Calibri"/>
        <family val="2"/>
        <scheme val="minor"/>
      </rPr>
      <t xml:space="preserve">
CaSO4 = CaSO4x2H2O
CaCl2 = CaCl2x2H2O
Milchsäure = Milchsäure 80% 
NaCl = Kochsalz
NaHCO3 = Natron
</t>
    </r>
  </si>
  <si>
    <t>4) Schlupf und JackFrost (Usernamen auf hobbybrauer.de): Noch ein Wasserrechner (nach Braumagazin)</t>
  </si>
  <si>
    <t>5) Ununnilium (Username auf hobbybrauer.de): Wasseraufbereitung</t>
  </si>
  <si>
    <t>6) und viele Beiträge im Hobbybrauer-Forum auf hobbybrauer.de, die hilfreich waren</t>
  </si>
  <si>
    <t>Kennwort zum Aufheben des Blattschutzes: Bier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</si>
</sst>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\ &quot;mg/l&quot;"/>
    <numFmt numFmtId="165" formatCode="0.00\ &quot;°dH&quot;"/>
    <numFmt numFmtId="166" formatCode="#,##0.0\ &quot;l&quot;"/>
    <numFmt numFmtId="167" formatCode="#,##0.00\ &quot;g&quot;"/>
    <numFmt numFmtId="168" formatCode="#,##0.00\ &quot;mg/l&quot;"/>
  </numFmts>
  <fonts count="20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Webdings"/>
      <family val="1"/>
      <charset val="2"/>
    </font>
    <font>
      <sz val="10"/>
      <name val="Webdings"/>
      <family val="1"/>
      <charset val="2"/>
    </font>
    <font>
      <sz val="10"/>
      <color rgb="FFFFFF99"/>
      <name val="Webdings"/>
      <family val="1"/>
      <charset val="2"/>
    </font>
    <font>
      <sz val="10"/>
      <color rgb="FF00B050"/>
      <name val="Webdings"/>
      <family val="1"/>
      <charset val="2"/>
    </font>
    <font>
      <b/>
      <sz val="1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Wingdings"/>
      <charset val="2"/>
    </font>
    <font>
      <sz val="8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10"/>
      <color theme="4" tint="0.79998168889431442"/>
      <name val="Calibri"/>
      <family val="2"/>
      <scheme val="minor"/>
    </font>
    <font>
      <sz val="10"/>
      <color theme="4" tint="0.59999389629810485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44">
    <xf numFmtId="0" fontId="0" fillId="0" borderId="0" xfId="0"/>
    <xf numFmtId="0" fontId="1" fillId="2" borderId="0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0" fillId="0" borderId="0" xfId="0" applyFont="1" applyBorder="1" applyAlignment="1">
      <alignment vertical="top"/>
    </xf>
    <xf numFmtId="0" fontId="3" fillId="3" borderId="1" xfId="0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0" fontId="4" fillId="3" borderId="2" xfId="0" applyFont="1" applyFill="1" applyBorder="1" applyAlignment="1">
      <alignment horizontal="right" vertical="top"/>
    </xf>
    <xf numFmtId="4" fontId="5" fillId="3" borderId="2" xfId="0" applyNumberFormat="1" applyFont="1" applyFill="1" applyBorder="1" applyAlignment="1">
      <alignment horizontal="left" vertical="center"/>
    </xf>
    <xf numFmtId="0" fontId="2" fillId="3" borderId="3" xfId="0" applyFont="1" applyFill="1" applyBorder="1" applyAlignment="1">
      <alignment vertical="top"/>
    </xf>
    <xf numFmtId="0" fontId="3" fillId="3" borderId="4" xfId="0" applyFont="1" applyFill="1" applyBorder="1" applyAlignment="1">
      <alignment vertical="top"/>
    </xf>
    <xf numFmtId="0" fontId="2" fillId="3" borderId="0" xfId="0" applyFont="1" applyFill="1" applyBorder="1" applyAlignment="1">
      <alignment vertical="top"/>
    </xf>
    <xf numFmtId="0" fontId="4" fillId="3" borderId="0" xfId="0" applyFont="1" applyFill="1" applyBorder="1" applyAlignment="1">
      <alignment horizontal="right" vertical="top"/>
    </xf>
    <xf numFmtId="4" fontId="5" fillId="3" borderId="0" xfId="0" applyNumberFormat="1" applyFont="1" applyFill="1" applyBorder="1" applyAlignment="1">
      <alignment horizontal="left" vertical="center"/>
    </xf>
    <xf numFmtId="0" fontId="0" fillId="3" borderId="0" xfId="0" applyFont="1" applyFill="1" applyBorder="1" applyAlignment="1">
      <alignment vertical="top"/>
    </xf>
    <xf numFmtId="0" fontId="2" fillId="3" borderId="5" xfId="0" applyFont="1" applyFill="1" applyBorder="1" applyAlignment="1">
      <alignment vertical="top"/>
    </xf>
    <xf numFmtId="0" fontId="2" fillId="3" borderId="6" xfId="0" applyFont="1" applyFill="1" applyBorder="1" applyAlignment="1">
      <alignment vertical="top"/>
    </xf>
    <xf numFmtId="0" fontId="2" fillId="3" borderId="7" xfId="0" applyFont="1" applyFill="1" applyBorder="1" applyAlignment="1">
      <alignment vertical="top"/>
    </xf>
    <xf numFmtId="0" fontId="4" fillId="3" borderId="7" xfId="0" applyFont="1" applyFill="1" applyBorder="1" applyAlignment="1">
      <alignment horizontal="right" vertical="top"/>
    </xf>
    <xf numFmtId="4" fontId="5" fillId="3" borderId="7" xfId="0" applyNumberFormat="1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top"/>
    </xf>
    <xf numFmtId="0" fontId="2" fillId="3" borderId="8" xfId="0" applyFont="1" applyFill="1" applyBorder="1" applyAlignment="1">
      <alignment vertical="top"/>
    </xf>
    <xf numFmtId="0" fontId="3" fillId="5" borderId="1" xfId="0" applyFont="1" applyFill="1" applyBorder="1" applyAlignment="1">
      <alignment vertical="top"/>
    </xf>
    <xf numFmtId="0" fontId="3" fillId="5" borderId="2" xfId="0" applyFont="1" applyFill="1" applyBorder="1" applyAlignment="1">
      <alignment vertical="top"/>
    </xf>
    <xf numFmtId="0" fontId="2" fillId="5" borderId="2" xfId="0" applyFont="1" applyFill="1" applyBorder="1" applyAlignment="1">
      <alignment vertical="top"/>
    </xf>
    <xf numFmtId="0" fontId="2" fillId="5" borderId="3" xfId="0" applyFont="1" applyFill="1" applyBorder="1" applyAlignment="1">
      <alignment vertical="top"/>
    </xf>
    <xf numFmtId="0" fontId="4" fillId="5" borderId="4" xfId="0" applyFont="1" applyFill="1" applyBorder="1" applyAlignment="1">
      <alignment horizontal="center" wrapText="1"/>
    </xf>
    <xf numFmtId="0" fontId="3" fillId="5" borderId="0" xfId="0" applyFont="1" applyFill="1" applyBorder="1" applyAlignment="1">
      <alignment horizontal="center" wrapText="1"/>
    </xf>
    <xf numFmtId="49" fontId="10" fillId="5" borderId="0" xfId="0" applyNumberFormat="1" applyFont="1" applyFill="1" applyBorder="1" applyAlignment="1">
      <alignment horizontal="center" wrapText="1"/>
    </xf>
    <xf numFmtId="49" fontId="10" fillId="5" borderId="5" xfId="0" applyNumberFormat="1" applyFont="1" applyFill="1" applyBorder="1" applyAlignment="1">
      <alignment horizontal="center" wrapText="1"/>
    </xf>
    <xf numFmtId="0" fontId="3" fillId="5" borderId="4" xfId="0" applyFont="1" applyFill="1" applyBorder="1" applyAlignment="1">
      <alignment vertical="top"/>
    </xf>
    <xf numFmtId="4" fontId="5" fillId="5" borderId="0" xfId="0" applyNumberFormat="1" applyFont="1" applyFill="1" applyBorder="1" applyAlignment="1">
      <alignment horizontal="center" vertical="center"/>
    </xf>
    <xf numFmtId="4" fontId="5" fillId="5" borderId="5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right" vertical="top"/>
    </xf>
    <xf numFmtId="0" fontId="4" fillId="5" borderId="0" xfId="0" applyFont="1" applyFill="1" applyBorder="1" applyAlignment="1">
      <alignment vertical="top"/>
    </xf>
    <xf numFmtId="0" fontId="4" fillId="5" borderId="5" xfId="0" applyFont="1" applyFill="1" applyBorder="1" applyAlignment="1">
      <alignment vertical="top"/>
    </xf>
    <xf numFmtId="4" fontId="5" fillId="5" borderId="6" xfId="0" applyNumberFormat="1" applyFont="1" applyFill="1" applyBorder="1" applyAlignment="1">
      <alignment horizontal="center" vertical="center"/>
    </xf>
    <xf numFmtId="4" fontId="5" fillId="5" borderId="7" xfId="0" applyNumberFormat="1" applyFont="1" applyFill="1" applyBorder="1" applyAlignment="1">
      <alignment horizontal="center" vertical="center"/>
    </xf>
    <xf numFmtId="4" fontId="5" fillId="5" borderId="8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vertical="top"/>
    </xf>
    <xf numFmtId="0" fontId="4" fillId="3" borderId="0" xfId="0" applyFont="1" applyFill="1" applyBorder="1" applyAlignment="1">
      <alignment vertical="top"/>
    </xf>
    <xf numFmtId="0" fontId="0" fillId="3" borderId="3" xfId="0" applyFont="1" applyFill="1" applyBorder="1" applyAlignment="1">
      <alignment vertical="top"/>
    </xf>
    <xf numFmtId="0" fontId="4" fillId="3" borderId="4" xfId="0" applyFont="1" applyFill="1" applyBorder="1" applyAlignment="1">
      <alignment horizontal="right" vertical="top"/>
    </xf>
    <xf numFmtId="164" fontId="4" fillId="3" borderId="0" xfId="0" applyNumberFormat="1" applyFont="1" applyFill="1" applyBorder="1" applyAlignment="1">
      <alignment vertical="top"/>
    </xf>
    <xf numFmtId="0" fontId="0" fillId="3" borderId="5" xfId="0" applyFont="1" applyFill="1" applyBorder="1" applyAlignment="1">
      <alignment vertical="top"/>
    </xf>
    <xf numFmtId="0" fontId="4" fillId="3" borderId="4" xfId="0" applyFont="1" applyFill="1" applyBorder="1" applyAlignment="1">
      <alignment vertical="top"/>
    </xf>
    <xf numFmtId="165" fontId="4" fillId="3" borderId="0" xfId="0" applyNumberFormat="1" applyFont="1" applyFill="1" applyBorder="1" applyAlignment="1">
      <alignment vertical="top"/>
    </xf>
    <xf numFmtId="0" fontId="3" fillId="3" borderId="0" xfId="0" applyFont="1" applyFill="1" applyBorder="1" applyAlignment="1">
      <alignment horizontal="center"/>
    </xf>
    <xf numFmtId="49" fontId="10" fillId="3" borderId="0" xfId="0" applyNumberFormat="1" applyFont="1" applyFill="1" applyBorder="1" applyAlignment="1">
      <alignment horizontal="center"/>
    </xf>
    <xf numFmtId="49" fontId="10" fillId="3" borderId="0" xfId="0" applyNumberFormat="1" applyFont="1" applyFill="1" applyBorder="1" applyAlignment="1">
      <alignment horizontal="left"/>
    </xf>
    <xf numFmtId="49" fontId="10" fillId="3" borderId="0" xfId="0" applyNumberFormat="1" applyFont="1" applyFill="1" applyBorder="1" applyAlignment="1">
      <alignment horizontal="center" wrapText="1"/>
    </xf>
    <xf numFmtId="49" fontId="10" fillId="3" borderId="5" xfId="0" applyNumberFormat="1" applyFont="1" applyFill="1" applyBorder="1" applyAlignment="1">
      <alignment horizontal="center" wrapText="1"/>
    </xf>
    <xf numFmtId="0" fontId="0" fillId="3" borderId="4" xfId="0" applyFont="1" applyFill="1" applyBorder="1" applyAlignment="1">
      <alignment vertical="top"/>
    </xf>
    <xf numFmtId="4" fontId="5" fillId="3" borderId="0" xfId="0" applyNumberFormat="1" applyFont="1" applyFill="1" applyBorder="1" applyAlignment="1">
      <alignment horizontal="center" vertical="center"/>
    </xf>
    <xf numFmtId="4" fontId="5" fillId="3" borderId="5" xfId="0" applyNumberFormat="1" applyFont="1" applyFill="1" applyBorder="1" applyAlignment="1">
      <alignment horizontal="center" vertical="center"/>
    </xf>
    <xf numFmtId="4" fontId="5" fillId="3" borderId="6" xfId="0" applyNumberFormat="1" applyFont="1" applyFill="1" applyBorder="1" applyAlignment="1">
      <alignment horizontal="center" vertical="center"/>
    </xf>
    <xf numFmtId="4" fontId="5" fillId="3" borderId="7" xfId="0" applyNumberFormat="1" applyFont="1" applyFill="1" applyBorder="1" applyAlignment="1">
      <alignment horizontal="center" vertical="center"/>
    </xf>
    <xf numFmtId="4" fontId="5" fillId="3" borderId="8" xfId="0" applyNumberFormat="1" applyFont="1" applyFill="1" applyBorder="1" applyAlignment="1">
      <alignment horizontal="center" vertical="center"/>
    </xf>
    <xf numFmtId="0" fontId="0" fillId="5" borderId="2" xfId="0" applyFont="1" applyFill="1" applyBorder="1" applyAlignment="1">
      <alignment vertical="top"/>
    </xf>
    <xf numFmtId="4" fontId="11" fillId="5" borderId="2" xfId="0" applyNumberFormat="1" applyFont="1" applyFill="1" applyBorder="1" applyAlignment="1">
      <alignment horizontal="center" vertical="center"/>
    </xf>
    <xf numFmtId="0" fontId="0" fillId="5" borderId="3" xfId="0" applyFont="1" applyFill="1" applyBorder="1" applyAlignment="1">
      <alignment vertical="top"/>
    </xf>
    <xf numFmtId="0" fontId="4" fillId="5" borderId="4" xfId="0" applyFont="1" applyFill="1" applyBorder="1" applyAlignment="1">
      <alignment horizontal="right" vertical="top"/>
    </xf>
    <xf numFmtId="164" fontId="4" fillId="5" borderId="0" xfId="0" applyNumberFormat="1" applyFont="1" applyFill="1" applyBorder="1" applyAlignment="1">
      <alignment vertical="top"/>
    </xf>
    <xf numFmtId="4" fontId="11" fillId="5" borderId="0" xfId="0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vertical="top"/>
    </xf>
    <xf numFmtId="0" fontId="0" fillId="5" borderId="5" xfId="0" applyFont="1" applyFill="1" applyBorder="1" applyAlignment="1">
      <alignment vertical="top"/>
    </xf>
    <xf numFmtId="0" fontId="4" fillId="5" borderId="4" xfId="0" applyFont="1" applyFill="1" applyBorder="1" applyAlignment="1">
      <alignment vertical="top"/>
    </xf>
    <xf numFmtId="165" fontId="4" fillId="5" borderId="0" xfId="0" applyNumberFormat="1" applyFont="1" applyFill="1" applyBorder="1" applyAlignment="1">
      <alignment vertical="top"/>
    </xf>
    <xf numFmtId="0" fontId="3" fillId="5" borderId="0" xfId="0" applyFont="1" applyFill="1" applyBorder="1" applyAlignment="1">
      <alignment horizontal="center"/>
    </xf>
    <xf numFmtId="49" fontId="10" fillId="5" borderId="0" xfId="0" applyNumberFormat="1" applyFont="1" applyFill="1" applyBorder="1" applyAlignment="1">
      <alignment horizontal="center"/>
    </xf>
    <xf numFmtId="49" fontId="10" fillId="5" borderId="0" xfId="0" applyNumberFormat="1" applyFont="1" applyFill="1" applyBorder="1" applyAlignment="1">
      <alignment horizontal="left"/>
    </xf>
    <xf numFmtId="0" fontId="0" fillId="5" borderId="4" xfId="0" applyFont="1" applyFill="1" applyBorder="1" applyAlignment="1">
      <alignment vertical="top"/>
    </xf>
    <xf numFmtId="0" fontId="0" fillId="5" borderId="6" xfId="0" applyFont="1" applyFill="1" applyBorder="1" applyAlignment="1">
      <alignment vertical="top"/>
    </xf>
    <xf numFmtId="0" fontId="0" fillId="5" borderId="7" xfId="0" applyFont="1" applyFill="1" applyBorder="1" applyAlignment="1">
      <alignment vertical="top"/>
    </xf>
    <xf numFmtId="4" fontId="11" fillId="3" borderId="2" xfId="0" applyNumberFormat="1" applyFont="1" applyFill="1" applyBorder="1" applyAlignment="1">
      <alignment horizontal="center" vertical="center"/>
    </xf>
    <xf numFmtId="4" fontId="12" fillId="3" borderId="2" xfId="0" applyNumberFormat="1" applyFont="1" applyFill="1" applyBorder="1" applyAlignment="1">
      <alignment horizontal="center" vertical="center"/>
    </xf>
    <xf numFmtId="4" fontId="5" fillId="3" borderId="0" xfId="0" applyNumberFormat="1" applyFont="1" applyFill="1" applyBorder="1" applyAlignment="1">
      <alignment horizontal="right" vertical="center"/>
    </xf>
    <xf numFmtId="4" fontId="12" fillId="3" borderId="0" xfId="0" applyNumberFormat="1" applyFont="1" applyFill="1" applyBorder="1" applyAlignment="1">
      <alignment horizontal="center" vertical="center"/>
    </xf>
    <xf numFmtId="4" fontId="11" fillId="3" borderId="0" xfId="0" applyNumberFormat="1" applyFont="1" applyFill="1" applyBorder="1" applyAlignment="1">
      <alignment horizontal="center" vertical="center"/>
    </xf>
    <xf numFmtId="167" fontId="5" fillId="3" borderId="0" xfId="0" applyNumberFormat="1" applyFont="1" applyFill="1" applyBorder="1" applyAlignment="1">
      <alignment vertical="center"/>
    </xf>
    <xf numFmtId="0" fontId="4" fillId="3" borderId="9" xfId="0" applyFont="1" applyFill="1" applyBorder="1" applyAlignment="1">
      <alignment vertical="top"/>
    </xf>
    <xf numFmtId="166" fontId="4" fillId="3" borderId="10" xfId="0" applyNumberFormat="1" applyFont="1" applyFill="1" applyBorder="1" applyAlignment="1">
      <alignment vertical="top"/>
    </xf>
    <xf numFmtId="167" fontId="4" fillId="3" borderId="10" xfId="0" applyNumberFormat="1" applyFont="1" applyFill="1" applyBorder="1" applyAlignment="1">
      <alignment vertical="top"/>
    </xf>
    <xf numFmtId="4" fontId="11" fillId="3" borderId="7" xfId="0" applyNumberFormat="1" applyFont="1" applyFill="1" applyBorder="1" applyAlignment="1">
      <alignment horizontal="center" vertical="center"/>
    </xf>
    <xf numFmtId="4" fontId="12" fillId="3" borderId="7" xfId="0" applyNumberFormat="1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vertical="top"/>
    </xf>
    <xf numFmtId="0" fontId="0" fillId="3" borderId="8" xfId="0" applyFont="1" applyFill="1" applyBorder="1" applyAlignment="1">
      <alignment vertical="top"/>
    </xf>
    <xf numFmtId="4" fontId="11" fillId="0" borderId="0" xfId="0" applyNumberFormat="1" applyFont="1" applyBorder="1" applyAlignment="1">
      <alignment horizontal="center" vertical="center"/>
    </xf>
    <xf numFmtId="4" fontId="12" fillId="0" borderId="0" xfId="0" applyNumberFormat="1" applyFont="1" applyBorder="1" applyAlignment="1">
      <alignment horizontal="center" vertical="center"/>
    </xf>
    <xf numFmtId="4" fontId="14" fillId="0" borderId="0" xfId="1" applyNumberFormat="1" applyBorder="1" applyAlignment="1">
      <alignment horizontal="center" vertical="center"/>
    </xf>
    <xf numFmtId="0" fontId="0" fillId="0" borderId="0" xfId="0" applyFont="1" applyBorder="1" applyAlignment="1">
      <alignment horizontal="center" vertical="top"/>
    </xf>
    <xf numFmtId="49" fontId="12" fillId="0" borderId="0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center" vertical="center"/>
    </xf>
    <xf numFmtId="1" fontId="16" fillId="0" borderId="0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4" borderId="4" xfId="0" applyFont="1" applyFill="1" applyBorder="1" applyAlignment="1" applyProtection="1">
      <alignment horizontal="left" vertical="center"/>
      <protection locked="0"/>
    </xf>
    <xf numFmtId="4" fontId="5" fillId="6" borderId="0" xfId="0" applyNumberFormat="1" applyFont="1" applyFill="1" applyBorder="1" applyAlignment="1" applyProtection="1">
      <alignment horizontal="center" vertical="center"/>
      <protection locked="0"/>
    </xf>
    <xf numFmtId="166" fontId="4" fillId="4" borderId="0" xfId="0" applyNumberFormat="1" applyFont="1" applyFill="1" applyBorder="1" applyAlignment="1" applyProtection="1">
      <alignment vertical="top"/>
      <protection locked="0"/>
    </xf>
    <xf numFmtId="0" fontId="3" fillId="3" borderId="2" xfId="0" applyFont="1" applyFill="1" applyBorder="1" applyAlignment="1">
      <alignment horizontal="left" vertical="top" indent="1"/>
    </xf>
    <xf numFmtId="0" fontId="4" fillId="3" borderId="0" xfId="0" applyFont="1" applyFill="1" applyBorder="1" applyAlignment="1">
      <alignment horizontal="left" vertical="top" indent="2"/>
    </xf>
    <xf numFmtId="0" fontId="18" fillId="3" borderId="4" xfId="0" applyFont="1" applyFill="1" applyBorder="1" applyAlignment="1">
      <alignment vertical="top"/>
    </xf>
    <xf numFmtId="0" fontId="3" fillId="3" borderId="4" xfId="0" applyFont="1" applyFill="1" applyBorder="1" applyAlignment="1"/>
    <xf numFmtId="0" fontId="3" fillId="5" borderId="2" xfId="0" applyFont="1" applyFill="1" applyBorder="1" applyAlignment="1">
      <alignment horizontal="left" vertical="top" indent="1"/>
    </xf>
    <xf numFmtId="0" fontId="4" fillId="5" borderId="0" xfId="0" applyFont="1" applyFill="1" applyBorder="1" applyAlignment="1">
      <alignment horizontal="left" vertical="top" indent="2"/>
    </xf>
    <xf numFmtId="0" fontId="19" fillId="5" borderId="4" xfId="0" applyFont="1" applyFill="1" applyBorder="1" applyAlignment="1">
      <alignment vertical="top"/>
    </xf>
    <xf numFmtId="0" fontId="3" fillId="5" borderId="4" xfId="0" applyFont="1" applyFill="1" applyBorder="1" applyAlignment="1"/>
    <xf numFmtId="168" fontId="4" fillId="4" borderId="0" xfId="0" applyNumberFormat="1" applyFont="1" applyFill="1" applyBorder="1" applyAlignment="1" applyProtection="1">
      <alignment vertical="top"/>
      <protection locked="0"/>
    </xf>
    <xf numFmtId="0" fontId="14" fillId="0" borderId="0" xfId="1" applyBorder="1" applyAlignment="1" applyProtection="1">
      <alignment vertical="top"/>
      <protection locked="0"/>
    </xf>
    <xf numFmtId="0" fontId="3" fillId="4" borderId="1" xfId="0" applyFont="1" applyFill="1" applyBorder="1" applyAlignment="1">
      <alignment horizontal="left" vertical="center" wrapText="1" indent="1"/>
    </xf>
    <xf numFmtId="0" fontId="3" fillId="4" borderId="2" xfId="0" applyFont="1" applyFill="1" applyBorder="1" applyAlignment="1">
      <alignment horizontal="left" vertical="center" indent="1"/>
    </xf>
    <xf numFmtId="0" fontId="3" fillId="4" borderId="3" xfId="0" applyFont="1" applyFill="1" applyBorder="1" applyAlignment="1">
      <alignment horizontal="left" vertical="center" indent="1"/>
    </xf>
    <xf numFmtId="0" fontId="3" fillId="4" borderId="4" xfId="0" applyFont="1" applyFill="1" applyBorder="1" applyAlignment="1">
      <alignment horizontal="left" vertical="center" indent="1"/>
    </xf>
    <xf numFmtId="0" fontId="3" fillId="4" borderId="0" xfId="0" applyFont="1" applyFill="1" applyBorder="1" applyAlignment="1">
      <alignment horizontal="left" vertical="center" indent="1"/>
    </xf>
    <xf numFmtId="0" fontId="3" fillId="4" borderId="5" xfId="0" applyFont="1" applyFill="1" applyBorder="1" applyAlignment="1">
      <alignment horizontal="left" vertical="center" indent="1"/>
    </xf>
    <xf numFmtId="0" fontId="3" fillId="4" borderId="6" xfId="0" applyFont="1" applyFill="1" applyBorder="1" applyAlignment="1">
      <alignment horizontal="left" vertical="center" indent="1"/>
    </xf>
    <xf numFmtId="0" fontId="3" fillId="4" borderId="7" xfId="0" applyFont="1" applyFill="1" applyBorder="1" applyAlignment="1">
      <alignment horizontal="left" vertical="center" indent="1"/>
    </xf>
    <xf numFmtId="0" fontId="3" fillId="4" borderId="8" xfId="0" applyFont="1" applyFill="1" applyBorder="1" applyAlignment="1">
      <alignment horizontal="left" vertical="center" indent="1"/>
    </xf>
    <xf numFmtId="0" fontId="4" fillId="4" borderId="1" xfId="0" applyFont="1" applyFill="1" applyBorder="1" applyAlignment="1">
      <alignment horizontal="left" vertical="center" wrapText="1" indent="1"/>
    </xf>
    <xf numFmtId="0" fontId="4" fillId="4" borderId="2" xfId="0" applyFont="1" applyFill="1" applyBorder="1" applyAlignment="1">
      <alignment horizontal="left" vertical="center" wrapText="1" indent="1"/>
    </xf>
    <xf numFmtId="0" fontId="4" fillId="4" borderId="3" xfId="0" applyFont="1" applyFill="1" applyBorder="1" applyAlignment="1">
      <alignment horizontal="left" vertical="center" wrapText="1" indent="1"/>
    </xf>
    <xf numFmtId="0" fontId="4" fillId="4" borderId="4" xfId="0" applyFont="1" applyFill="1" applyBorder="1" applyAlignment="1">
      <alignment horizontal="left" vertical="center" wrapText="1" indent="1"/>
    </xf>
    <xf numFmtId="0" fontId="4" fillId="4" borderId="0" xfId="0" applyFont="1" applyFill="1" applyBorder="1" applyAlignment="1">
      <alignment horizontal="left" vertical="center" wrapText="1" indent="1"/>
    </xf>
    <xf numFmtId="0" fontId="4" fillId="4" borderId="5" xfId="0" applyFont="1" applyFill="1" applyBorder="1" applyAlignment="1">
      <alignment horizontal="left" vertical="center" wrapText="1" indent="1"/>
    </xf>
    <xf numFmtId="0" fontId="4" fillId="4" borderId="6" xfId="0" applyFont="1" applyFill="1" applyBorder="1" applyAlignment="1">
      <alignment horizontal="left" vertical="center" wrapText="1" indent="1"/>
    </xf>
    <xf numFmtId="0" fontId="4" fillId="4" borderId="7" xfId="0" applyFont="1" applyFill="1" applyBorder="1" applyAlignment="1">
      <alignment horizontal="left" vertical="center" wrapText="1" indent="1"/>
    </xf>
    <xf numFmtId="0" fontId="4" fillId="4" borderId="8" xfId="0" applyFont="1" applyFill="1" applyBorder="1" applyAlignment="1">
      <alignment horizontal="left" vertical="center" wrapText="1" indent="1"/>
    </xf>
    <xf numFmtId="0" fontId="4" fillId="4" borderId="1" xfId="0" applyFont="1" applyFill="1" applyBorder="1" applyAlignment="1">
      <alignment horizontal="left" vertical="top" wrapText="1" indent="1"/>
    </xf>
    <xf numFmtId="0" fontId="4" fillId="4" borderId="2" xfId="0" applyFont="1" applyFill="1" applyBorder="1" applyAlignment="1">
      <alignment horizontal="left" vertical="top" wrapText="1" indent="1"/>
    </xf>
    <xf numFmtId="0" fontId="4" fillId="4" borderId="3" xfId="0" applyFont="1" applyFill="1" applyBorder="1" applyAlignment="1">
      <alignment horizontal="left" vertical="top" wrapText="1" indent="1"/>
    </xf>
    <xf numFmtId="0" fontId="4" fillId="4" borderId="4" xfId="0" applyFont="1" applyFill="1" applyBorder="1" applyAlignment="1">
      <alignment horizontal="left" vertical="top" wrapText="1" indent="1"/>
    </xf>
    <xf numFmtId="0" fontId="4" fillId="4" borderId="0" xfId="0" applyFont="1" applyFill="1" applyBorder="1" applyAlignment="1">
      <alignment horizontal="left" vertical="top" wrapText="1" indent="1"/>
    </xf>
    <xf numFmtId="0" fontId="4" fillId="4" borderId="5" xfId="0" applyFont="1" applyFill="1" applyBorder="1" applyAlignment="1">
      <alignment horizontal="left" vertical="top" wrapText="1" indent="1"/>
    </xf>
    <xf numFmtId="0" fontId="4" fillId="4" borderId="6" xfId="0" applyFont="1" applyFill="1" applyBorder="1" applyAlignment="1">
      <alignment horizontal="left" vertical="top" wrapText="1" indent="1"/>
    </xf>
    <xf numFmtId="0" fontId="4" fillId="4" borderId="7" xfId="0" applyFont="1" applyFill="1" applyBorder="1" applyAlignment="1">
      <alignment horizontal="left" vertical="top" wrapText="1" indent="1"/>
    </xf>
    <xf numFmtId="0" fontId="4" fillId="4" borderId="8" xfId="0" applyFont="1" applyFill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4" fillId="0" borderId="2" xfId="0" applyFont="1" applyBorder="1" applyAlignment="1">
      <alignment horizontal="left" vertical="top" indent="1"/>
    </xf>
    <xf numFmtId="0" fontId="4" fillId="0" borderId="3" xfId="0" applyFont="1" applyBorder="1" applyAlignment="1">
      <alignment horizontal="left" vertical="top" indent="1"/>
    </xf>
    <xf numFmtId="0" fontId="4" fillId="0" borderId="4" xfId="0" applyFont="1" applyBorder="1" applyAlignment="1">
      <alignment horizontal="left" vertical="top" indent="1"/>
    </xf>
    <xf numFmtId="0" fontId="4" fillId="0" borderId="0" xfId="0" applyFont="1" applyBorder="1" applyAlignment="1">
      <alignment horizontal="left" vertical="top" indent="1"/>
    </xf>
    <xf numFmtId="0" fontId="4" fillId="0" borderId="5" xfId="0" applyFont="1" applyBorder="1" applyAlignment="1">
      <alignment horizontal="left" vertical="top" indent="1"/>
    </xf>
    <xf numFmtId="0" fontId="4" fillId="0" borderId="6" xfId="0" applyFont="1" applyBorder="1" applyAlignment="1">
      <alignment horizontal="left" vertical="top" indent="1"/>
    </xf>
    <xf numFmtId="0" fontId="4" fillId="0" borderId="7" xfId="0" applyFont="1" applyBorder="1" applyAlignment="1">
      <alignment horizontal="left" vertical="top" indent="1"/>
    </xf>
    <xf numFmtId="0" fontId="4" fillId="0" borderId="8" xfId="0" applyFont="1" applyBorder="1" applyAlignment="1">
      <alignment horizontal="left" vertical="top" indent="1"/>
    </xf>
  </cellXfs>
  <cellStyles count="2">
    <cellStyle name="Link" xfId="1" builtinId="8"/>
    <cellStyle name="Standard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strike val="0"/>
        <color theme="0" tint="-0.14996795556505021"/>
      </font>
    </dxf>
    <dxf>
      <font>
        <strike val="0"/>
        <color theme="0" tint="-0.14996795556505021"/>
      </font>
    </dxf>
    <dxf>
      <font>
        <strike val="0"/>
        <color theme="0" tint="-0.14996795556505021"/>
      </font>
    </dxf>
    <dxf>
      <font>
        <strike val="0"/>
        <color theme="0" tint="-0.14996795556505021"/>
      </font>
    </dxf>
    <dxf>
      <font>
        <strike val="0"/>
        <color theme="0" tint="-0.14996795556505021"/>
      </font>
    </dxf>
    <dxf>
      <font>
        <strike val="0"/>
        <color theme="0" tint="-0.14996795556505021"/>
      </font>
    </dxf>
    <dxf>
      <font>
        <strike val="0"/>
        <color theme="0" tint="-0.14996795556505021"/>
      </font>
    </dxf>
    <dxf>
      <font>
        <strike val="0"/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e14" displayName="Tabelle14" ref="A44:K63" totalsRowShown="0" headerRowDxfId="12" dataDxfId="11">
  <tableColumns count="11">
    <tableColumn id="1" name="Empfohlene Werte" dataDxfId="10"/>
    <tableColumn id="2" name="RA °dH min" dataDxfId="9"/>
    <tableColumn id="3" name="RA °dH max" dataDxfId="8"/>
    <tableColumn id="4" name="Ca min" dataDxfId="7"/>
    <tableColumn id="5" name="Ca max" dataDxfId="6"/>
    <tableColumn id="6" name="Mg min" dataDxfId="5"/>
    <tableColumn id="7" name="Mg max" dataDxfId="4"/>
    <tableColumn id="8" name="SO4 min" dataDxfId="3"/>
    <tableColumn id="9" name="SO4 max" dataDxfId="2"/>
    <tableColumn id="10" name="Cl min" dataDxfId="1"/>
    <tableColumn id="11" name="Cl ma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www.maischemalzundmehr.de/index.php?inhaltmitte=toolswasserrechner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braumagazin.de/article/irgendwie-seltsam-oder-wie-ich-lernte-mein-brauwasser-zu-lieben/" TargetMode="External"/><Relationship Id="rId1" Type="http://schemas.openxmlformats.org/officeDocument/2006/relationships/hyperlink" Target="https://braumagazin.de/article/von-der-wasseranalyse-zum-brauwasser/" TargetMode="External"/><Relationship Id="rId6" Type="http://schemas.openxmlformats.org/officeDocument/2006/relationships/hyperlink" Target="https://hobbybrauer.de/forum/viewtopic.php?f=4&amp;t=11831&amp;hilit=Wasserrechner" TargetMode="External"/><Relationship Id="rId5" Type="http://schemas.openxmlformats.org/officeDocument/2006/relationships/hyperlink" Target="https://hobbybrauer.de/forum/index.php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s://hobbybrauer.de/forum/viewtopic.php?p=148215&amp;sid=2e6d44c23e04862a2bf6810e43efae09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63"/>
  <sheetViews>
    <sheetView tabSelected="1" zoomScale="85" zoomScaleNormal="85" workbookViewId="0">
      <selection activeCell="A4" sqref="A4"/>
    </sheetView>
  </sheetViews>
  <sheetFormatPr baseColWidth="10" defaultRowHeight="14.4" x14ac:dyDescent="0.3"/>
  <cols>
    <col min="1" max="1" width="26.21875" style="3" customWidth="1"/>
    <col min="2" max="3" width="11.88671875" style="89" customWidth="1"/>
    <col min="4" max="7" width="11.88671875" style="3" customWidth="1"/>
    <col min="8" max="8" width="11.6640625" style="3" customWidth="1"/>
    <col min="9" max="9" width="10.77734375" style="3" customWidth="1"/>
    <col min="10" max="13" width="11.88671875" style="3" customWidth="1"/>
    <col min="14" max="14" width="14.88671875" style="3" customWidth="1"/>
    <col min="15" max="15" width="11.5546875" style="3" customWidth="1"/>
    <col min="16" max="16" width="11.5546875" style="3"/>
    <col min="17" max="17" width="32.44140625" style="3" customWidth="1"/>
    <col min="18" max="19" width="11.5546875" style="3"/>
    <col min="20" max="20" width="16.33203125" style="3" customWidth="1"/>
    <col min="21" max="21" width="19.33203125" style="3" customWidth="1"/>
    <col min="22" max="16384" width="11.5546875" style="3"/>
  </cols>
  <sheetData>
    <row r="1" spans="1:17" ht="18" x14ac:dyDescent="0.3">
      <c r="A1" s="1" t="s">
        <v>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 t="s">
        <v>90</v>
      </c>
      <c r="P1" s="2"/>
      <c r="Q1" s="2"/>
    </row>
    <row r="2" spans="1:17" x14ac:dyDescent="0.3">
      <c r="A2" s="4" t="s">
        <v>0</v>
      </c>
      <c r="B2" s="5"/>
      <c r="C2" s="6" t="s">
        <v>1</v>
      </c>
      <c r="D2" s="7" t="s">
        <v>77</v>
      </c>
      <c r="E2" s="5"/>
      <c r="F2" s="5"/>
      <c r="G2" s="5"/>
      <c r="H2" s="5"/>
      <c r="I2" s="5"/>
      <c r="J2" s="5"/>
      <c r="K2" s="5"/>
      <c r="L2" s="5"/>
      <c r="M2" s="5"/>
      <c r="N2" s="8"/>
      <c r="O2" s="108" t="s">
        <v>78</v>
      </c>
      <c r="P2" s="109"/>
      <c r="Q2" s="110"/>
    </row>
    <row r="3" spans="1:17" x14ac:dyDescent="0.3">
      <c r="A3" s="9"/>
      <c r="B3" s="10"/>
      <c r="C3" s="11"/>
      <c r="D3" s="12" t="s">
        <v>2</v>
      </c>
      <c r="E3" s="13"/>
      <c r="F3" s="10"/>
      <c r="G3" s="10"/>
      <c r="H3" s="10"/>
      <c r="I3" s="10"/>
      <c r="J3" s="10"/>
      <c r="K3" s="10"/>
      <c r="L3" s="10"/>
      <c r="M3" s="10"/>
      <c r="N3" s="14"/>
      <c r="O3" s="111"/>
      <c r="P3" s="112"/>
      <c r="Q3" s="113"/>
    </row>
    <row r="4" spans="1:17" x14ac:dyDescent="0.3">
      <c r="A4" s="95" t="s">
        <v>3</v>
      </c>
      <c r="B4" s="10"/>
      <c r="C4" s="11"/>
      <c r="D4" s="12" t="s">
        <v>79</v>
      </c>
      <c r="E4" s="13"/>
      <c r="F4" s="10"/>
      <c r="G4" s="10"/>
      <c r="H4" s="10"/>
      <c r="I4" s="10"/>
      <c r="J4" s="10"/>
      <c r="K4" s="10"/>
      <c r="L4" s="10"/>
      <c r="M4" s="10"/>
      <c r="N4" s="14"/>
      <c r="O4" s="111"/>
      <c r="P4" s="112"/>
      <c r="Q4" s="113"/>
    </row>
    <row r="5" spans="1:17" x14ac:dyDescent="0.3">
      <c r="A5" s="15"/>
      <c r="B5" s="16"/>
      <c r="C5" s="17"/>
      <c r="D5" s="18"/>
      <c r="E5" s="19"/>
      <c r="F5" s="16"/>
      <c r="G5" s="16"/>
      <c r="H5" s="16"/>
      <c r="I5" s="16"/>
      <c r="J5" s="16"/>
      <c r="K5" s="16"/>
      <c r="L5" s="16"/>
      <c r="M5" s="16"/>
      <c r="N5" s="20"/>
      <c r="O5" s="114"/>
      <c r="P5" s="115"/>
      <c r="Q5" s="116"/>
    </row>
    <row r="6" spans="1:17" ht="14.4" customHeight="1" x14ac:dyDescent="0.3">
      <c r="A6" s="21" t="s">
        <v>4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4"/>
      <c r="O6" s="117" t="s">
        <v>80</v>
      </c>
      <c r="P6" s="118"/>
      <c r="Q6" s="119"/>
    </row>
    <row r="7" spans="1:17" ht="27.6" x14ac:dyDescent="0.3">
      <c r="A7" s="25"/>
      <c r="B7" s="26" t="s">
        <v>5</v>
      </c>
      <c r="C7" s="26" t="s">
        <v>6</v>
      </c>
      <c r="D7" s="27" t="s">
        <v>7</v>
      </c>
      <c r="E7" s="27" t="s">
        <v>8</v>
      </c>
      <c r="F7" s="26" t="s">
        <v>9</v>
      </c>
      <c r="G7" s="27" t="s">
        <v>10</v>
      </c>
      <c r="H7" s="27" t="s">
        <v>11</v>
      </c>
      <c r="I7" s="27" t="s">
        <v>12</v>
      </c>
      <c r="J7" s="27" t="s">
        <v>13</v>
      </c>
      <c r="K7" s="27" t="s">
        <v>14</v>
      </c>
      <c r="L7" s="27" t="s">
        <v>15</v>
      </c>
      <c r="M7" s="27" t="s">
        <v>16</v>
      </c>
      <c r="N7" s="28" t="s">
        <v>17</v>
      </c>
      <c r="O7" s="120"/>
      <c r="P7" s="121"/>
      <c r="Q7" s="122"/>
    </row>
    <row r="8" spans="1:17" x14ac:dyDescent="0.3">
      <c r="A8" s="29"/>
      <c r="B8" s="96">
        <v>6.57</v>
      </c>
      <c r="C8" s="96">
        <v>1.05</v>
      </c>
      <c r="D8" s="96">
        <v>8.8800000000000008</v>
      </c>
      <c r="E8" s="96">
        <v>1.47</v>
      </c>
      <c r="F8" s="96">
        <v>0.32</v>
      </c>
      <c r="G8" s="96">
        <v>12.07</v>
      </c>
      <c r="H8" s="30">
        <f>J8-K8/3.5-L8/7</f>
        <v>0.25641105327713998</v>
      </c>
      <c r="I8" s="30">
        <f>(B8*1.4+C8*2.307)/10</f>
        <v>1.1620349999999999</v>
      </c>
      <c r="J8" s="30">
        <f>(G8/61.017)*2.8</f>
        <v>0.55387842732353276</v>
      </c>
      <c r="K8" s="30">
        <f>B8/7.14</f>
        <v>0.92016806722689082</v>
      </c>
      <c r="L8" s="30">
        <f>C8/4.34</f>
        <v>0.24193548387096775</v>
      </c>
      <c r="M8" s="30">
        <f>I8-J8</f>
        <v>0.60815657267646717</v>
      </c>
      <c r="N8" s="31">
        <f>D8/E8</f>
        <v>6.0408163265306127</v>
      </c>
      <c r="O8" s="120"/>
      <c r="P8" s="121"/>
      <c r="Q8" s="122"/>
    </row>
    <row r="9" spans="1:17" x14ac:dyDescent="0.3">
      <c r="A9" s="32" t="s">
        <v>18</v>
      </c>
      <c r="B9" s="30">
        <f>VLOOKUP($A$4,Tabelle14[#All],5,FALSE)</f>
        <v>75</v>
      </c>
      <c r="C9" s="30">
        <f>VLOOKUP($A$4,Tabelle14[#All],7,FALSE)</f>
        <v>25</v>
      </c>
      <c r="D9" s="30">
        <f>VLOOKUP($A$4,Tabelle14[#All],9,FALSE)</f>
        <v>100</v>
      </c>
      <c r="E9" s="30">
        <f>VLOOKUP($A$4,Tabelle14[#All],11,FALSE)</f>
        <v>150</v>
      </c>
      <c r="F9" s="30">
        <v>50</v>
      </c>
      <c r="G9" s="30">
        <v>500</v>
      </c>
      <c r="H9" s="30">
        <f>VLOOKUP($A$4,Tabelle14[#All],3,FALSE)</f>
        <v>5</v>
      </c>
      <c r="I9" s="33"/>
      <c r="J9" s="33"/>
      <c r="K9" s="33"/>
      <c r="L9" s="33"/>
      <c r="M9" s="33"/>
      <c r="N9" s="34"/>
      <c r="O9" s="120"/>
      <c r="P9" s="121"/>
      <c r="Q9" s="122"/>
    </row>
    <row r="10" spans="1:17" x14ac:dyDescent="0.3">
      <c r="A10" s="32" t="s">
        <v>20</v>
      </c>
      <c r="B10" s="30">
        <f>VLOOKUP($A$4,Tabelle14[#All],4,FALSE)</f>
        <v>50</v>
      </c>
      <c r="C10" s="30">
        <f>VLOOKUP($A$4,Tabelle14[#All],6,FALSE)</f>
        <v>0</v>
      </c>
      <c r="D10" s="30">
        <f>VLOOKUP($A$4,Tabelle14[#All],8,FALSE)</f>
        <v>0</v>
      </c>
      <c r="E10" s="30">
        <f>VLOOKUP($A$4,Tabelle14[#All],10,FALSE)</f>
        <v>50</v>
      </c>
      <c r="F10" s="30" t="s">
        <v>19</v>
      </c>
      <c r="G10" s="30" t="s">
        <v>19</v>
      </c>
      <c r="H10" s="30">
        <f>VLOOKUP($A$4,Tabelle14[#All],2,FALSE)</f>
        <v>0</v>
      </c>
      <c r="I10" s="33"/>
      <c r="J10" s="33"/>
      <c r="K10" s="33"/>
      <c r="L10" s="33"/>
      <c r="M10" s="33"/>
      <c r="N10" s="34"/>
      <c r="O10" s="120"/>
      <c r="P10" s="121"/>
      <c r="Q10" s="122"/>
    </row>
    <row r="11" spans="1:17" x14ac:dyDescent="0.3">
      <c r="A11" s="35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7"/>
      <c r="O11" s="123"/>
      <c r="P11" s="124"/>
      <c r="Q11" s="125"/>
    </row>
    <row r="12" spans="1:17" x14ac:dyDescent="0.3">
      <c r="A12" s="4" t="s">
        <v>21</v>
      </c>
      <c r="B12" s="38"/>
      <c r="C12" s="98" t="s">
        <v>81</v>
      </c>
      <c r="D12" s="98" t="s">
        <v>82</v>
      </c>
      <c r="E12" s="38"/>
      <c r="F12" s="38"/>
      <c r="G12" s="38"/>
      <c r="H12" s="38"/>
      <c r="I12" s="39"/>
      <c r="J12" s="13"/>
      <c r="K12" s="13"/>
      <c r="L12" s="13"/>
      <c r="M12" s="13"/>
      <c r="N12" s="40"/>
      <c r="O12" s="126" t="s">
        <v>83</v>
      </c>
      <c r="P12" s="127"/>
      <c r="Q12" s="128"/>
    </row>
    <row r="13" spans="1:17" x14ac:dyDescent="0.3">
      <c r="A13" s="41" t="s">
        <v>22</v>
      </c>
      <c r="B13" s="39" t="s">
        <v>23</v>
      </c>
      <c r="C13" s="42">
        <f>IF(D13&gt;0,D13,IF(D8&lt;D10,(D10-D8)/0.55793,))</f>
        <v>0</v>
      </c>
      <c r="D13" s="106">
        <v>0</v>
      </c>
      <c r="E13" s="99" t="s">
        <v>24</v>
      </c>
      <c r="F13" s="39"/>
      <c r="G13" s="39"/>
      <c r="H13" s="39"/>
      <c r="I13" s="39"/>
      <c r="J13" s="13"/>
      <c r="K13" s="13"/>
      <c r="L13" s="13"/>
      <c r="M13" s="13"/>
      <c r="N13" s="43"/>
      <c r="O13" s="129"/>
      <c r="P13" s="130"/>
      <c r="Q13" s="131"/>
    </row>
    <row r="14" spans="1:17" x14ac:dyDescent="0.3">
      <c r="A14" s="44"/>
      <c r="B14" s="39" t="s">
        <v>25</v>
      </c>
      <c r="C14" s="42">
        <f>IF(D14&gt;0,D14,IF(E8&lt;E10,(E10-E8)/0.48228,))</f>
        <v>100.62619225346272</v>
      </c>
      <c r="D14" s="106">
        <v>0</v>
      </c>
      <c r="E14" s="99" t="s">
        <v>26</v>
      </c>
      <c r="F14" s="39"/>
      <c r="G14" s="45">
        <f>J8-K18/3.5-L18/7</f>
        <v>-0.84125601388148108</v>
      </c>
      <c r="H14" s="39"/>
      <c r="I14" s="39"/>
      <c r="J14" s="13"/>
      <c r="K14" s="13"/>
      <c r="L14" s="13"/>
      <c r="M14" s="13"/>
      <c r="N14" s="43"/>
      <c r="O14" s="129"/>
      <c r="P14" s="130"/>
      <c r="Q14" s="131"/>
    </row>
    <row r="15" spans="1:17" x14ac:dyDescent="0.3">
      <c r="A15" s="100" t="s">
        <v>84</v>
      </c>
      <c r="B15" s="39" t="s">
        <v>27</v>
      </c>
      <c r="C15" s="42">
        <f>IF(D15&gt;0,D15,IF(G14&gt;H9,ABS(G16-G14)*40,0))</f>
        <v>0</v>
      </c>
      <c r="D15" s="106">
        <v>0</v>
      </c>
      <c r="E15" s="99" t="s">
        <v>28</v>
      </c>
      <c r="F15" s="39"/>
      <c r="G15" s="45"/>
      <c r="H15" s="39"/>
      <c r="I15" s="39"/>
      <c r="J15" s="13"/>
      <c r="K15" s="13"/>
      <c r="L15" s="13"/>
      <c r="M15" s="13"/>
      <c r="N15" s="43"/>
      <c r="O15" s="129"/>
      <c r="P15" s="130"/>
      <c r="Q15" s="131"/>
    </row>
    <row r="16" spans="1:17" x14ac:dyDescent="0.3">
      <c r="A16" s="44"/>
      <c r="B16" s="39" t="s">
        <v>29</v>
      </c>
      <c r="C16" s="42">
        <f>IF(D16&gt;0,D16,IF(G14&lt;H10,(G16-G14)*30,0))</f>
        <v>100.23768041644443</v>
      </c>
      <c r="D16" s="106">
        <v>0</v>
      </c>
      <c r="E16" s="99" t="s">
        <v>30</v>
      </c>
      <c r="F16" s="39"/>
      <c r="G16" s="45">
        <f>(H9+H10)/2</f>
        <v>2.5</v>
      </c>
      <c r="H16" s="39"/>
      <c r="I16" s="39"/>
      <c r="J16" s="13"/>
      <c r="K16" s="13"/>
      <c r="L16" s="13"/>
      <c r="M16" s="13"/>
      <c r="N16" s="43"/>
      <c r="O16" s="129"/>
      <c r="P16" s="130"/>
      <c r="Q16" s="131"/>
    </row>
    <row r="17" spans="1:17" ht="28.2" customHeight="1" x14ac:dyDescent="0.3">
      <c r="A17" s="101" t="s">
        <v>31</v>
      </c>
      <c r="B17" s="46" t="s">
        <v>5</v>
      </c>
      <c r="C17" s="46" t="s">
        <v>6</v>
      </c>
      <c r="D17" s="47" t="s">
        <v>7</v>
      </c>
      <c r="E17" s="47" t="s">
        <v>8</v>
      </c>
      <c r="F17" s="46" t="s">
        <v>9</v>
      </c>
      <c r="G17" s="47" t="s">
        <v>10</v>
      </c>
      <c r="H17" s="48" t="s">
        <v>11</v>
      </c>
      <c r="I17" s="49" t="s">
        <v>12</v>
      </c>
      <c r="J17" s="49" t="s">
        <v>13</v>
      </c>
      <c r="K17" s="49" t="s">
        <v>14</v>
      </c>
      <c r="L17" s="49" t="s">
        <v>15</v>
      </c>
      <c r="M17" s="49" t="s">
        <v>16</v>
      </c>
      <c r="N17" s="50" t="s">
        <v>17</v>
      </c>
      <c r="O17" s="129"/>
      <c r="P17" s="130"/>
      <c r="Q17" s="131"/>
    </row>
    <row r="18" spans="1:17" x14ac:dyDescent="0.3">
      <c r="A18" s="51"/>
      <c r="B18" s="52">
        <f>B8+C13*0.23278+C14*0.2726</f>
        <v>34.00070000829394</v>
      </c>
      <c r="C18" s="52">
        <f>C8</f>
        <v>1.05</v>
      </c>
      <c r="D18" s="52">
        <f>D8+C13*0.55793</f>
        <v>8.8800000000000008</v>
      </c>
      <c r="E18" s="52">
        <f>E8+C14*0.48228</f>
        <v>50</v>
      </c>
      <c r="F18" s="52">
        <f>F8+C16*0.27366</f>
        <v>27.751043622764186</v>
      </c>
      <c r="G18" s="52">
        <f>G8+C16*0.72634</f>
        <v>84.876636793680262</v>
      </c>
      <c r="H18" s="52">
        <f>J18-K18/3.5-L18/7-C15/40</f>
        <v>2.4997568681399995</v>
      </c>
      <c r="I18" s="52">
        <f>(B18*1.4+C18*2.307)/10</f>
        <v>5.0023330011611513</v>
      </c>
      <c r="J18" s="52">
        <f>(G18/61.017)*2.8</f>
        <v>3.8948913093450135</v>
      </c>
      <c r="K18" s="52">
        <f>B18/7.14</f>
        <v>4.7620028022820646</v>
      </c>
      <c r="L18" s="52">
        <f>C18/4.34</f>
        <v>0.24193548387096775</v>
      </c>
      <c r="M18" s="52">
        <f>I18-J18</f>
        <v>1.1074416918161378</v>
      </c>
      <c r="N18" s="53">
        <f>D18/E18</f>
        <v>0.17760000000000001</v>
      </c>
      <c r="O18" s="129"/>
      <c r="P18" s="130"/>
      <c r="Q18" s="131"/>
    </row>
    <row r="19" spans="1:17" x14ac:dyDescent="0.3">
      <c r="A19" s="54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6"/>
      <c r="O19" s="132"/>
      <c r="P19" s="133"/>
      <c r="Q19" s="134"/>
    </row>
    <row r="20" spans="1:17" x14ac:dyDescent="0.3">
      <c r="A20" s="21" t="s">
        <v>32</v>
      </c>
      <c r="B20" s="57"/>
      <c r="C20" s="102" t="s">
        <v>81</v>
      </c>
      <c r="D20" s="102" t="s">
        <v>82</v>
      </c>
      <c r="E20" s="57"/>
      <c r="F20" s="57"/>
      <c r="G20" s="57"/>
      <c r="H20" s="57"/>
      <c r="I20" s="33"/>
      <c r="J20" s="58"/>
      <c r="K20" s="58"/>
      <c r="L20" s="57"/>
      <c r="M20" s="57"/>
      <c r="N20" s="59"/>
      <c r="O20" s="126" t="s">
        <v>85</v>
      </c>
      <c r="P20" s="127"/>
      <c r="Q20" s="128"/>
    </row>
    <row r="21" spans="1:17" x14ac:dyDescent="0.3">
      <c r="A21" s="60" t="s">
        <v>22</v>
      </c>
      <c r="B21" s="33" t="s">
        <v>23</v>
      </c>
      <c r="C21" s="61">
        <f>IF(D21&gt;0,D21,IF(D8&lt;D10,(D10-D8)/0.55793,))</f>
        <v>0</v>
      </c>
      <c r="D21" s="106">
        <v>0</v>
      </c>
      <c r="E21" s="103" t="s">
        <v>24</v>
      </c>
      <c r="F21" s="33"/>
      <c r="G21" s="33"/>
      <c r="H21" s="33"/>
      <c r="I21" s="33"/>
      <c r="J21" s="62"/>
      <c r="K21" s="62"/>
      <c r="L21" s="63"/>
      <c r="M21" s="63"/>
      <c r="N21" s="64"/>
      <c r="O21" s="129"/>
      <c r="P21" s="130"/>
      <c r="Q21" s="131"/>
    </row>
    <row r="22" spans="1:17" x14ac:dyDescent="0.3">
      <c r="A22" s="65"/>
      <c r="B22" s="33" t="s">
        <v>33</v>
      </c>
      <c r="C22" s="61">
        <f>IF(D22&gt;0,D22,IF(E8&lt;E10,(E10-E8)/0.60666,))</f>
        <v>79.995384564665557</v>
      </c>
      <c r="D22" s="106">
        <v>0</v>
      </c>
      <c r="E22" s="103" t="s">
        <v>34</v>
      </c>
      <c r="F22" s="33"/>
      <c r="G22" s="66">
        <f>J8-K26/3.5-L26/7</f>
        <v>0.25641105327713998</v>
      </c>
      <c r="H22" s="33"/>
      <c r="I22" s="33"/>
      <c r="J22" s="62"/>
      <c r="K22" s="62"/>
      <c r="L22" s="63"/>
      <c r="M22" s="63"/>
      <c r="N22" s="64"/>
      <c r="O22" s="129"/>
      <c r="P22" s="130"/>
      <c r="Q22" s="131"/>
    </row>
    <row r="23" spans="1:17" x14ac:dyDescent="0.3">
      <c r="A23" s="104" t="s">
        <v>84</v>
      </c>
      <c r="B23" s="33" t="s">
        <v>27</v>
      </c>
      <c r="C23" s="61">
        <f>IF(D23&gt;0,D23,IF(G22&gt;H9,ABS(G24-G22)*40,0))</f>
        <v>0</v>
      </c>
      <c r="D23" s="106">
        <v>0</v>
      </c>
      <c r="E23" s="103" t="s">
        <v>28</v>
      </c>
      <c r="F23" s="33"/>
      <c r="G23" s="66"/>
      <c r="H23" s="33"/>
      <c r="I23" s="33"/>
      <c r="J23" s="62"/>
      <c r="K23" s="62"/>
      <c r="L23" s="63"/>
      <c r="M23" s="63"/>
      <c r="N23" s="64"/>
      <c r="O23" s="129"/>
      <c r="P23" s="130"/>
      <c r="Q23" s="131"/>
    </row>
    <row r="24" spans="1:17" x14ac:dyDescent="0.3">
      <c r="A24" s="65"/>
      <c r="B24" s="33" t="s">
        <v>29</v>
      </c>
      <c r="C24" s="61">
        <f>IF(D24&gt;0,D24,IF(G22&lt;H10,(G24-G22)*30,0))</f>
        <v>0</v>
      </c>
      <c r="D24" s="106">
        <v>0</v>
      </c>
      <c r="E24" s="103" t="s">
        <v>30</v>
      </c>
      <c r="F24" s="33"/>
      <c r="G24" s="66">
        <f>(H9+H10)/2</f>
        <v>2.5</v>
      </c>
      <c r="H24" s="33"/>
      <c r="I24" s="33"/>
      <c r="J24" s="62"/>
      <c r="K24" s="62"/>
      <c r="L24" s="63"/>
      <c r="M24" s="63"/>
      <c r="N24" s="64"/>
      <c r="O24" s="129"/>
      <c r="P24" s="130"/>
      <c r="Q24" s="131"/>
    </row>
    <row r="25" spans="1:17" ht="27.6" customHeight="1" x14ac:dyDescent="0.3">
      <c r="A25" s="105" t="s">
        <v>31</v>
      </c>
      <c r="B25" s="67" t="s">
        <v>5</v>
      </c>
      <c r="C25" s="67" t="s">
        <v>6</v>
      </c>
      <c r="D25" s="68" t="s">
        <v>7</v>
      </c>
      <c r="E25" s="68" t="s">
        <v>8</v>
      </c>
      <c r="F25" s="67" t="s">
        <v>9</v>
      </c>
      <c r="G25" s="68" t="s">
        <v>10</v>
      </c>
      <c r="H25" s="69" t="s">
        <v>11</v>
      </c>
      <c r="I25" s="27" t="s">
        <v>12</v>
      </c>
      <c r="J25" s="27" t="s">
        <v>13</v>
      </c>
      <c r="K25" s="27" t="s">
        <v>14</v>
      </c>
      <c r="L25" s="27" t="s">
        <v>15</v>
      </c>
      <c r="M25" s="27" t="s">
        <v>16</v>
      </c>
      <c r="N25" s="28" t="s">
        <v>17</v>
      </c>
      <c r="O25" s="129"/>
      <c r="P25" s="130"/>
      <c r="Q25" s="131"/>
    </row>
    <row r="26" spans="1:17" x14ac:dyDescent="0.3">
      <c r="A26" s="70"/>
      <c r="B26" s="30">
        <f>B8+C21*0.23278</f>
        <v>6.57</v>
      </c>
      <c r="C26" s="30">
        <f>C8</f>
        <v>1.05</v>
      </c>
      <c r="D26" s="30">
        <f>D8+C21*0.55793</f>
        <v>8.8800000000000008</v>
      </c>
      <c r="E26" s="30">
        <f>E8+C22*0.60666</f>
        <v>50.000000000000007</v>
      </c>
      <c r="F26" s="30">
        <f>F8+C22*0.39339+C24*0.27366</f>
        <v>31.789384333893786</v>
      </c>
      <c r="G26" s="30">
        <f>G8+C24*0.72634</f>
        <v>12.07</v>
      </c>
      <c r="H26" s="30">
        <f>J26-K26/3.5-L26/7-C23/40</f>
        <v>0.25641105327713998</v>
      </c>
      <c r="I26" s="30">
        <f>(B26*1.4+C26*2.307)/10</f>
        <v>1.1620349999999999</v>
      </c>
      <c r="J26" s="30">
        <f>(G26/61.017)*2.8</f>
        <v>0.55387842732353276</v>
      </c>
      <c r="K26" s="30">
        <f>B26/7.14</f>
        <v>0.92016806722689082</v>
      </c>
      <c r="L26" s="30">
        <f>C26/4.34</f>
        <v>0.24193548387096775</v>
      </c>
      <c r="M26" s="30">
        <f>I26-J26</f>
        <v>0.60815657267646717</v>
      </c>
      <c r="N26" s="31">
        <f>D26/E26</f>
        <v>0.17759999999999998</v>
      </c>
      <c r="O26" s="129"/>
      <c r="P26" s="130"/>
      <c r="Q26" s="131"/>
    </row>
    <row r="27" spans="1:17" x14ac:dyDescent="0.3">
      <c r="A27" s="71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37"/>
      <c r="O27" s="132"/>
      <c r="P27" s="133"/>
      <c r="Q27" s="134"/>
    </row>
    <row r="28" spans="1:17" ht="14.4" customHeight="1" x14ac:dyDescent="0.3">
      <c r="A28" s="4" t="s">
        <v>35</v>
      </c>
      <c r="B28" s="38"/>
      <c r="C28" s="73"/>
      <c r="D28" s="73"/>
      <c r="E28" s="73"/>
      <c r="F28" s="73"/>
      <c r="G28" s="73"/>
      <c r="H28" s="74"/>
      <c r="I28" s="73"/>
      <c r="J28" s="73"/>
      <c r="K28" s="73"/>
      <c r="L28" s="38"/>
      <c r="M28" s="38"/>
      <c r="N28" s="40"/>
      <c r="O28" s="135" t="s">
        <v>86</v>
      </c>
      <c r="P28" s="136"/>
      <c r="Q28" s="137"/>
    </row>
    <row r="29" spans="1:17" x14ac:dyDescent="0.3">
      <c r="A29" s="95" t="s">
        <v>36</v>
      </c>
      <c r="B29" s="39"/>
      <c r="C29" s="75" t="s">
        <v>23</v>
      </c>
      <c r="D29" s="75" t="s">
        <v>25</v>
      </c>
      <c r="E29" s="75" t="s">
        <v>33</v>
      </c>
      <c r="F29" s="75" t="s">
        <v>27</v>
      </c>
      <c r="G29" s="75" t="s">
        <v>29</v>
      </c>
      <c r="H29" s="76"/>
      <c r="I29" s="77"/>
      <c r="J29" s="77"/>
      <c r="K29" s="77"/>
      <c r="L29" s="13"/>
      <c r="M29" s="13"/>
      <c r="N29" s="43"/>
      <c r="O29" s="138"/>
      <c r="P29" s="139"/>
      <c r="Q29" s="140"/>
    </row>
    <row r="30" spans="1:17" x14ac:dyDescent="0.3">
      <c r="A30" s="44" t="s">
        <v>37</v>
      </c>
      <c r="B30" s="97">
        <v>12</v>
      </c>
      <c r="C30" s="78">
        <f>IF($A$29="Vorschlag 1",$C$13*$B30/1000,$C$21*$B30/1000)</f>
        <v>0</v>
      </c>
      <c r="D30" s="78">
        <f>IF($A$29="Vorschlag 1",$C$14*$B30/1000,)</f>
        <v>1.2075143070415526</v>
      </c>
      <c r="E30" s="78">
        <f>IF($A$29="Vorschlag 1",,$C$22*$B30/1000)</f>
        <v>0</v>
      </c>
      <c r="F30" s="78">
        <f>IF($A$29="Vorschlag 1",$C$15*$B30/1000,$C$23*$B30/1000)</f>
        <v>0</v>
      </c>
      <c r="G30" s="78">
        <f>IF($A$29="Vorschlag 1",$C$16*$B30/1000,$C$24*$B30/1000)</f>
        <v>1.2028521649973332</v>
      </c>
      <c r="H30" s="76"/>
      <c r="I30" s="77"/>
      <c r="J30" s="77"/>
      <c r="K30" s="77"/>
      <c r="L30" s="13"/>
      <c r="M30" s="13"/>
      <c r="N30" s="43"/>
      <c r="O30" s="138"/>
      <c r="P30" s="139"/>
      <c r="Q30" s="140"/>
    </row>
    <row r="31" spans="1:17" x14ac:dyDescent="0.3">
      <c r="A31" s="44" t="s">
        <v>38</v>
      </c>
      <c r="B31" s="97">
        <v>3</v>
      </c>
      <c r="C31" s="78">
        <f>IF($A$29="Vorschlag 1",$C$13*$B31/1000,$C$21*$B31/1000)</f>
        <v>0</v>
      </c>
      <c r="D31" s="78">
        <f>IF($A$29="Vorschlag 1",$C$14*$B31/1000,)</f>
        <v>0.30187857676038815</v>
      </c>
      <c r="E31" s="78">
        <f>IF($A$29="Vorschlag 1",,$C$22*$B31/1000)</f>
        <v>0</v>
      </c>
      <c r="F31" s="78">
        <f>IF($A$29="Vorschlag 1",$C$15*$B31/1000,$C$23*$B31/1000)</f>
        <v>0</v>
      </c>
      <c r="G31" s="78">
        <f>IF($A$29="Vorschlag 1",$C$16*$B31/1000,$C$24*$B31/1000)</f>
        <v>0.30071304124933329</v>
      </c>
      <c r="H31" s="76"/>
      <c r="I31" s="77"/>
      <c r="J31" s="77"/>
      <c r="K31" s="77"/>
      <c r="L31" s="13"/>
      <c r="M31" s="13"/>
      <c r="N31" s="43"/>
      <c r="O31" s="138"/>
      <c r="P31" s="139"/>
      <c r="Q31" s="140"/>
    </row>
    <row r="32" spans="1:17" ht="15" thickBot="1" x14ac:dyDescent="0.35">
      <c r="A32" s="79" t="s">
        <v>39</v>
      </c>
      <c r="B32" s="80">
        <f>SUM(B30:B31)</f>
        <v>15</v>
      </c>
      <c r="C32" s="81">
        <f t="shared" ref="C32:G32" si="0">SUM(C30:C31)</f>
        <v>0</v>
      </c>
      <c r="D32" s="81">
        <f t="shared" si="0"/>
        <v>1.5093928838019408</v>
      </c>
      <c r="E32" s="81">
        <f t="shared" si="0"/>
        <v>0</v>
      </c>
      <c r="F32" s="81">
        <f t="shared" si="0"/>
        <v>0</v>
      </c>
      <c r="G32" s="81">
        <f t="shared" si="0"/>
        <v>1.5035652062466665</v>
      </c>
      <c r="H32" s="76"/>
      <c r="I32" s="77"/>
      <c r="J32" s="77"/>
      <c r="K32" s="77"/>
      <c r="L32" s="13"/>
      <c r="M32" s="13"/>
      <c r="N32" s="43"/>
      <c r="O32" s="138"/>
      <c r="P32" s="139"/>
      <c r="Q32" s="140"/>
    </row>
    <row r="33" spans="1:17" ht="15" thickTop="1" x14ac:dyDescent="0.3">
      <c r="A33" s="19"/>
      <c r="B33" s="19"/>
      <c r="C33" s="82"/>
      <c r="D33" s="82"/>
      <c r="E33" s="82"/>
      <c r="F33" s="82"/>
      <c r="G33" s="82"/>
      <c r="H33" s="83"/>
      <c r="I33" s="82"/>
      <c r="J33" s="82"/>
      <c r="K33" s="82"/>
      <c r="L33" s="19"/>
      <c r="M33" s="84" t="s">
        <v>40</v>
      </c>
      <c r="N33" s="85"/>
      <c r="O33" s="141"/>
      <c r="P33" s="142"/>
      <c r="Q33" s="143"/>
    </row>
    <row r="34" spans="1:17" x14ac:dyDescent="0.3">
      <c r="B34" s="3"/>
      <c r="C34" s="86"/>
      <c r="D34" s="86"/>
      <c r="E34" s="86"/>
      <c r="F34" s="86"/>
      <c r="G34" s="86"/>
      <c r="H34" s="87"/>
      <c r="I34" s="86"/>
      <c r="J34" s="86"/>
      <c r="K34" s="86"/>
    </row>
    <row r="35" spans="1:17" x14ac:dyDescent="0.3">
      <c r="A35" s="3" t="s">
        <v>41</v>
      </c>
      <c r="B35" s="3"/>
      <c r="C35" s="86"/>
      <c r="D35" s="86"/>
      <c r="E35" s="86"/>
      <c r="F35" s="86"/>
      <c r="G35" s="86"/>
      <c r="H35" s="87"/>
      <c r="I35" s="86"/>
      <c r="J35" s="86"/>
      <c r="K35" s="86"/>
    </row>
    <row r="36" spans="1:17" x14ac:dyDescent="0.3">
      <c r="A36" s="107" t="s">
        <v>42</v>
      </c>
      <c r="B36" s="3"/>
      <c r="C36" s="86"/>
      <c r="D36" s="86"/>
      <c r="E36" s="86"/>
      <c r="F36" s="86"/>
      <c r="G36" s="86"/>
      <c r="H36" s="87"/>
      <c r="I36" s="86"/>
      <c r="J36" s="86"/>
      <c r="K36" s="86"/>
    </row>
    <row r="37" spans="1:17" x14ac:dyDescent="0.3">
      <c r="A37" s="107" t="s">
        <v>43</v>
      </c>
      <c r="B37" s="3"/>
      <c r="C37" s="86"/>
      <c r="D37" s="86"/>
      <c r="E37" s="86"/>
      <c r="F37" s="86"/>
      <c r="G37" s="86"/>
      <c r="H37" s="87"/>
      <c r="I37" s="86"/>
      <c r="J37" s="86"/>
      <c r="K37" s="86"/>
    </row>
    <row r="38" spans="1:17" x14ac:dyDescent="0.3">
      <c r="A38" s="107" t="s">
        <v>44</v>
      </c>
      <c r="B38" s="3"/>
      <c r="C38" s="86"/>
      <c r="D38" s="86"/>
      <c r="E38" s="86"/>
      <c r="F38" s="86"/>
      <c r="G38" s="86"/>
      <c r="H38" s="87"/>
      <c r="I38" s="88"/>
      <c r="J38" s="86"/>
      <c r="K38" s="86"/>
    </row>
    <row r="39" spans="1:17" x14ac:dyDescent="0.3">
      <c r="A39" s="107" t="s">
        <v>87</v>
      </c>
      <c r="B39" s="3"/>
      <c r="C39" s="86"/>
      <c r="D39" s="86"/>
      <c r="E39" s="86"/>
      <c r="F39" s="86"/>
      <c r="G39" s="86"/>
      <c r="H39" s="87"/>
      <c r="I39" s="88"/>
      <c r="J39" s="86"/>
      <c r="K39" s="86"/>
    </row>
    <row r="40" spans="1:17" x14ac:dyDescent="0.3">
      <c r="A40" s="107" t="s">
        <v>88</v>
      </c>
      <c r="B40" s="3"/>
      <c r="C40" s="86"/>
      <c r="E40" s="3" t="s">
        <v>45</v>
      </c>
      <c r="F40" s="86"/>
      <c r="G40" s="86"/>
      <c r="H40" s="87"/>
      <c r="I40" s="86"/>
      <c r="J40" s="86"/>
      <c r="K40" s="86"/>
    </row>
    <row r="41" spans="1:17" x14ac:dyDescent="0.3">
      <c r="A41" s="107" t="s">
        <v>89</v>
      </c>
      <c r="B41" s="3"/>
      <c r="C41" s="86"/>
      <c r="D41" s="86"/>
      <c r="E41" s="86"/>
      <c r="F41" s="86"/>
      <c r="G41" s="86"/>
      <c r="H41" s="87"/>
      <c r="I41" s="86"/>
      <c r="J41" s="86"/>
      <c r="K41" s="86"/>
    </row>
    <row r="42" spans="1:17" x14ac:dyDescent="0.3">
      <c r="B42" s="3"/>
      <c r="C42" s="86"/>
      <c r="D42" s="86"/>
      <c r="E42" s="86"/>
      <c r="F42" s="86"/>
      <c r="G42" s="86"/>
      <c r="H42" s="87"/>
      <c r="I42" s="86"/>
      <c r="J42" s="86"/>
      <c r="K42" s="86"/>
    </row>
    <row r="43" spans="1:17" x14ac:dyDescent="0.3">
      <c r="A43" s="3" t="s">
        <v>46</v>
      </c>
    </row>
    <row r="44" spans="1:17" x14ac:dyDescent="0.3">
      <c r="A44" s="90" t="s">
        <v>47</v>
      </c>
      <c r="B44" s="90" t="s">
        <v>48</v>
      </c>
      <c r="C44" s="90" t="s">
        <v>49</v>
      </c>
      <c r="D44" s="90" t="s">
        <v>50</v>
      </c>
      <c r="E44" s="90" t="s">
        <v>51</v>
      </c>
      <c r="F44" s="90" t="s">
        <v>52</v>
      </c>
      <c r="G44" s="90" t="s">
        <v>53</v>
      </c>
      <c r="H44" s="90" t="s">
        <v>54</v>
      </c>
      <c r="I44" s="90" t="s">
        <v>55</v>
      </c>
      <c r="J44" s="90" t="s">
        <v>56</v>
      </c>
      <c r="K44" s="90" t="s">
        <v>57</v>
      </c>
    </row>
    <row r="45" spans="1:17" x14ac:dyDescent="0.3">
      <c r="A45" s="91" t="s">
        <v>58</v>
      </c>
      <c r="B45" s="92">
        <v>-3</v>
      </c>
      <c r="C45" s="92">
        <v>0</v>
      </c>
      <c r="D45" s="92">
        <v>30</v>
      </c>
      <c r="E45" s="92">
        <v>50</v>
      </c>
      <c r="F45" s="92">
        <v>0</v>
      </c>
      <c r="G45" s="92">
        <v>20</v>
      </c>
      <c r="H45" s="92">
        <v>0</v>
      </c>
      <c r="I45" s="92">
        <v>50</v>
      </c>
      <c r="J45" s="92">
        <v>50</v>
      </c>
      <c r="K45" s="93">
        <v>100</v>
      </c>
    </row>
    <row r="46" spans="1:17" x14ac:dyDescent="0.3">
      <c r="A46" s="91" t="s">
        <v>59</v>
      </c>
      <c r="B46" s="92">
        <v>-2</v>
      </c>
      <c r="C46" s="92">
        <v>0</v>
      </c>
      <c r="D46" s="92">
        <v>0</v>
      </c>
      <c r="E46" s="92">
        <v>30</v>
      </c>
      <c r="F46" s="92">
        <v>0</v>
      </c>
      <c r="G46" s="92">
        <v>20</v>
      </c>
      <c r="H46" s="92">
        <v>0</v>
      </c>
      <c r="I46" s="92">
        <v>50</v>
      </c>
      <c r="J46" s="92">
        <v>0</v>
      </c>
      <c r="K46" s="93">
        <v>50</v>
      </c>
    </row>
    <row r="47" spans="1:17" x14ac:dyDescent="0.3">
      <c r="A47" s="91" t="s">
        <v>60</v>
      </c>
      <c r="B47" s="92">
        <v>-5</v>
      </c>
      <c r="C47" s="92">
        <v>0</v>
      </c>
      <c r="D47" s="92">
        <v>50</v>
      </c>
      <c r="E47" s="92">
        <v>75</v>
      </c>
      <c r="F47" s="92">
        <v>0</v>
      </c>
      <c r="G47" s="92">
        <v>20</v>
      </c>
      <c r="H47" s="92">
        <v>50</v>
      </c>
      <c r="I47" s="92">
        <v>150</v>
      </c>
      <c r="J47" s="92">
        <v>50</v>
      </c>
      <c r="K47" s="93">
        <v>100</v>
      </c>
    </row>
    <row r="48" spans="1:17" x14ac:dyDescent="0.3">
      <c r="A48" s="91" t="s">
        <v>61</v>
      </c>
      <c r="B48" s="92">
        <v>0</v>
      </c>
      <c r="C48" s="92">
        <v>2</v>
      </c>
      <c r="D48" s="92">
        <v>75</v>
      </c>
      <c r="E48" s="92">
        <v>100</v>
      </c>
      <c r="F48" s="92">
        <v>0</v>
      </c>
      <c r="G48" s="92">
        <v>20</v>
      </c>
      <c r="H48" s="92">
        <v>100</v>
      </c>
      <c r="I48" s="92">
        <v>200</v>
      </c>
      <c r="J48" s="92">
        <v>50</v>
      </c>
      <c r="K48" s="93">
        <v>100</v>
      </c>
    </row>
    <row r="49" spans="1:11" x14ac:dyDescent="0.3">
      <c r="A49" s="91" t="s">
        <v>3</v>
      </c>
      <c r="B49" s="92">
        <v>0</v>
      </c>
      <c r="C49" s="92">
        <v>5</v>
      </c>
      <c r="D49" s="92">
        <v>50</v>
      </c>
      <c r="E49" s="92">
        <v>75</v>
      </c>
      <c r="F49" s="92">
        <v>0</v>
      </c>
      <c r="G49" s="92">
        <v>25</v>
      </c>
      <c r="H49" s="92">
        <v>0</v>
      </c>
      <c r="I49" s="92">
        <v>100</v>
      </c>
      <c r="J49" s="92">
        <v>50</v>
      </c>
      <c r="K49" s="93">
        <v>150</v>
      </c>
    </row>
    <row r="50" spans="1:11" x14ac:dyDescent="0.3">
      <c r="A50" s="91" t="s">
        <v>62</v>
      </c>
      <c r="B50" s="92">
        <v>3</v>
      </c>
      <c r="C50" s="92">
        <v>6</v>
      </c>
      <c r="D50" s="92">
        <v>50</v>
      </c>
      <c r="E50" s="92">
        <v>75</v>
      </c>
      <c r="F50" s="92">
        <v>0</v>
      </c>
      <c r="G50" s="92">
        <v>25</v>
      </c>
      <c r="H50" s="92">
        <v>0</v>
      </c>
      <c r="I50" s="92">
        <v>50</v>
      </c>
      <c r="J50" s="92">
        <v>50</v>
      </c>
      <c r="K50" s="93">
        <v>150</v>
      </c>
    </row>
    <row r="51" spans="1:11" x14ac:dyDescent="0.3">
      <c r="A51" s="91" t="s">
        <v>63</v>
      </c>
      <c r="B51" s="92">
        <v>5</v>
      </c>
      <c r="C51" s="92">
        <v>10</v>
      </c>
      <c r="D51" s="92">
        <v>50</v>
      </c>
      <c r="E51" s="92">
        <v>75</v>
      </c>
      <c r="F51" s="92">
        <v>0</v>
      </c>
      <c r="G51" s="92">
        <v>20</v>
      </c>
      <c r="H51" s="92">
        <v>0</v>
      </c>
      <c r="I51" s="92">
        <v>100</v>
      </c>
      <c r="J51" s="92">
        <v>50</v>
      </c>
      <c r="K51" s="93">
        <v>150</v>
      </c>
    </row>
    <row r="52" spans="1:11" x14ac:dyDescent="0.3">
      <c r="A52" s="91" t="s">
        <v>64</v>
      </c>
      <c r="B52" s="92">
        <v>10</v>
      </c>
      <c r="C52" s="92">
        <v>10.000999999999999</v>
      </c>
      <c r="D52" s="92">
        <v>50</v>
      </c>
      <c r="E52" s="92">
        <v>100</v>
      </c>
      <c r="F52" s="92">
        <v>0</v>
      </c>
      <c r="G52" s="92">
        <v>25</v>
      </c>
      <c r="H52" s="92">
        <v>0</v>
      </c>
      <c r="I52" s="92">
        <v>100</v>
      </c>
      <c r="J52" s="92">
        <v>50</v>
      </c>
      <c r="K52" s="93">
        <v>100</v>
      </c>
    </row>
    <row r="53" spans="1:11" x14ac:dyDescent="0.3">
      <c r="A53" s="91" t="s">
        <v>65</v>
      </c>
      <c r="B53" s="92">
        <v>-5</v>
      </c>
      <c r="C53" s="92">
        <v>0</v>
      </c>
      <c r="D53" s="92">
        <v>50</v>
      </c>
      <c r="E53" s="92">
        <v>100</v>
      </c>
      <c r="F53" s="92">
        <v>0</v>
      </c>
      <c r="G53" s="92">
        <v>25</v>
      </c>
      <c r="H53" s="92">
        <v>100</v>
      </c>
      <c r="I53" s="92">
        <v>200</v>
      </c>
      <c r="J53" s="92">
        <v>50</v>
      </c>
      <c r="K53" s="93">
        <v>100</v>
      </c>
    </row>
    <row r="54" spans="1:11" x14ac:dyDescent="0.3">
      <c r="A54" s="91" t="s">
        <v>66</v>
      </c>
      <c r="B54" s="92">
        <v>0</v>
      </c>
      <c r="C54" s="92">
        <v>5</v>
      </c>
      <c r="D54" s="92">
        <v>50</v>
      </c>
      <c r="E54" s="92">
        <v>150</v>
      </c>
      <c r="F54" s="92">
        <v>0</v>
      </c>
      <c r="G54" s="92">
        <v>25</v>
      </c>
      <c r="H54" s="92">
        <v>100</v>
      </c>
      <c r="I54" s="92">
        <v>200</v>
      </c>
      <c r="J54" s="92">
        <v>50</v>
      </c>
      <c r="K54" s="93">
        <v>100</v>
      </c>
    </row>
    <row r="55" spans="1:11" x14ac:dyDescent="0.3">
      <c r="A55" s="91" t="s">
        <v>67</v>
      </c>
      <c r="B55" s="92">
        <v>2</v>
      </c>
      <c r="C55" s="92">
        <v>7</v>
      </c>
      <c r="D55" s="92">
        <v>50</v>
      </c>
      <c r="E55" s="92">
        <v>75</v>
      </c>
      <c r="F55" s="92">
        <v>15</v>
      </c>
      <c r="G55" s="92">
        <v>35</v>
      </c>
      <c r="H55" s="92">
        <v>50</v>
      </c>
      <c r="I55" s="92">
        <v>150</v>
      </c>
      <c r="J55" s="92">
        <v>50</v>
      </c>
      <c r="K55" s="93">
        <v>100</v>
      </c>
    </row>
    <row r="56" spans="1:11" x14ac:dyDescent="0.3">
      <c r="A56" s="91" t="s">
        <v>68</v>
      </c>
      <c r="B56" s="92">
        <v>5</v>
      </c>
      <c r="C56" s="92">
        <v>10</v>
      </c>
      <c r="D56" s="92">
        <v>50</v>
      </c>
      <c r="E56" s="92">
        <v>100</v>
      </c>
      <c r="F56" s="92">
        <v>0</v>
      </c>
      <c r="G56" s="92">
        <v>20</v>
      </c>
      <c r="H56" s="92">
        <v>0</v>
      </c>
      <c r="I56" s="92">
        <v>50</v>
      </c>
      <c r="J56" s="92">
        <v>50</v>
      </c>
      <c r="K56" s="93">
        <v>100</v>
      </c>
    </row>
    <row r="57" spans="1:11" x14ac:dyDescent="0.3">
      <c r="A57" s="91" t="s">
        <v>69</v>
      </c>
      <c r="B57" s="92">
        <v>-3</v>
      </c>
      <c r="C57" s="92">
        <v>0</v>
      </c>
      <c r="D57" s="92">
        <v>50</v>
      </c>
      <c r="E57" s="92">
        <v>100</v>
      </c>
      <c r="F57" s="92">
        <v>0</v>
      </c>
      <c r="G57" s="92">
        <v>25</v>
      </c>
      <c r="H57" s="92">
        <v>0</v>
      </c>
      <c r="I57" s="92">
        <v>50</v>
      </c>
      <c r="J57" s="92">
        <v>0</v>
      </c>
      <c r="K57" s="93">
        <v>100</v>
      </c>
    </row>
    <row r="58" spans="1:11" x14ac:dyDescent="0.3">
      <c r="A58" s="91" t="s">
        <v>70</v>
      </c>
      <c r="B58" s="92">
        <v>-3</v>
      </c>
      <c r="C58" s="92">
        <v>0</v>
      </c>
      <c r="D58" s="92">
        <v>50</v>
      </c>
      <c r="E58" s="92">
        <v>150</v>
      </c>
      <c r="F58" s="92">
        <v>0</v>
      </c>
      <c r="G58" s="92">
        <v>20</v>
      </c>
      <c r="H58" s="92">
        <v>100</v>
      </c>
      <c r="I58" s="92">
        <v>400</v>
      </c>
      <c r="J58" s="92">
        <v>0</v>
      </c>
      <c r="K58" s="93">
        <v>100</v>
      </c>
    </row>
    <row r="59" spans="1:11" x14ac:dyDescent="0.3">
      <c r="A59" s="91" t="s">
        <v>71</v>
      </c>
      <c r="B59" s="92">
        <v>0</v>
      </c>
      <c r="C59" s="92">
        <v>5</v>
      </c>
      <c r="D59" s="92">
        <v>50</v>
      </c>
      <c r="E59" s="92">
        <v>150</v>
      </c>
      <c r="F59" s="92">
        <v>0</v>
      </c>
      <c r="G59" s="92">
        <v>25</v>
      </c>
      <c r="H59" s="92">
        <v>100</v>
      </c>
      <c r="I59" s="92">
        <v>300</v>
      </c>
      <c r="J59" s="92">
        <v>50</v>
      </c>
      <c r="K59" s="93">
        <v>100</v>
      </c>
    </row>
    <row r="60" spans="1:11" x14ac:dyDescent="0.3">
      <c r="A60" s="91" t="s">
        <v>72</v>
      </c>
      <c r="B60" s="92">
        <v>5</v>
      </c>
      <c r="C60" s="92">
        <v>10</v>
      </c>
      <c r="D60" s="92">
        <v>50</v>
      </c>
      <c r="E60" s="92">
        <v>75</v>
      </c>
      <c r="F60" s="92">
        <v>15</v>
      </c>
      <c r="G60" s="92">
        <v>35</v>
      </c>
      <c r="H60" s="92">
        <v>50</v>
      </c>
      <c r="I60" s="92">
        <v>150</v>
      </c>
      <c r="J60" s="92">
        <v>50</v>
      </c>
      <c r="K60" s="93">
        <v>150</v>
      </c>
    </row>
    <row r="61" spans="1:11" x14ac:dyDescent="0.3">
      <c r="A61" s="94" t="s">
        <v>73</v>
      </c>
      <c r="B61" s="92">
        <v>0</v>
      </c>
      <c r="C61" s="92">
        <v>0</v>
      </c>
      <c r="D61" s="92">
        <v>50</v>
      </c>
      <c r="E61" s="92">
        <v>100</v>
      </c>
      <c r="F61" s="92">
        <v>0</v>
      </c>
      <c r="G61" s="92">
        <v>20</v>
      </c>
      <c r="H61" s="92">
        <v>50</v>
      </c>
      <c r="I61" s="92">
        <v>100</v>
      </c>
      <c r="J61" s="92">
        <v>50</v>
      </c>
      <c r="K61" s="93">
        <v>100</v>
      </c>
    </row>
    <row r="62" spans="1:11" x14ac:dyDescent="0.3">
      <c r="A62" s="91" t="s">
        <v>74</v>
      </c>
      <c r="B62" s="92">
        <v>0</v>
      </c>
      <c r="C62" s="92">
        <v>5</v>
      </c>
      <c r="D62" s="92">
        <v>50</v>
      </c>
      <c r="E62" s="92">
        <v>100</v>
      </c>
      <c r="F62" s="92">
        <v>0</v>
      </c>
      <c r="G62" s="92">
        <v>20</v>
      </c>
      <c r="H62" s="92">
        <v>50</v>
      </c>
      <c r="I62" s="92">
        <v>100</v>
      </c>
      <c r="J62" s="92">
        <v>50</v>
      </c>
      <c r="K62" s="93">
        <v>150</v>
      </c>
    </row>
    <row r="63" spans="1:11" x14ac:dyDescent="0.3">
      <c r="A63" s="91" t="s">
        <v>75</v>
      </c>
      <c r="B63" s="92">
        <v>8</v>
      </c>
      <c r="C63" s="92">
        <v>15</v>
      </c>
      <c r="D63" s="92">
        <v>50</v>
      </c>
      <c r="E63" s="92">
        <v>75</v>
      </c>
      <c r="F63" s="92">
        <v>0</v>
      </c>
      <c r="G63" s="92">
        <v>25</v>
      </c>
      <c r="H63" s="92">
        <v>50</v>
      </c>
      <c r="I63" s="92">
        <v>150</v>
      </c>
      <c r="J63" s="92">
        <v>50</v>
      </c>
      <c r="K63" s="93">
        <v>150</v>
      </c>
    </row>
  </sheetData>
  <sheetProtection algorithmName="SHA-512" hashValue="AZipzwuQuj8zccgKFka/kwfz3av6c6h2pzFblKS9jaSzPtwZK0Z49bWqNMUvJzRtJNdutHIq+Xa6Ew/S359gCw==" saltValue="N22l+sefjdu2UZxpenW+PQ==" spinCount="100000" sheet="1" objects="1" scenarios="1" selectLockedCells="1"/>
  <mergeCells count="5">
    <mergeCell ref="O2:Q5"/>
    <mergeCell ref="O6:Q11"/>
    <mergeCell ref="O12:Q19"/>
    <mergeCell ref="O20:Q27"/>
    <mergeCell ref="O28:Q33"/>
  </mergeCells>
  <conditionalFormatting sqref="D13">
    <cfRule type="cellIs" dxfId="22" priority="10" operator="equal">
      <formula>0</formula>
    </cfRule>
  </conditionalFormatting>
  <conditionalFormatting sqref="D14">
    <cfRule type="cellIs" dxfId="21" priority="9" operator="equal">
      <formula>0</formula>
    </cfRule>
  </conditionalFormatting>
  <conditionalFormatting sqref="D15">
    <cfRule type="cellIs" dxfId="20" priority="8" operator="equal">
      <formula>0</formula>
    </cfRule>
  </conditionalFormatting>
  <conditionalFormatting sqref="D16">
    <cfRule type="cellIs" dxfId="19" priority="7" operator="equal">
      <formula>0</formula>
    </cfRule>
  </conditionalFormatting>
  <conditionalFormatting sqref="D21">
    <cfRule type="cellIs" dxfId="18" priority="6" operator="equal">
      <formula>0</formula>
    </cfRule>
  </conditionalFormatting>
  <conditionalFormatting sqref="D22">
    <cfRule type="cellIs" dxfId="17" priority="5" operator="equal">
      <formula>0</formula>
    </cfRule>
  </conditionalFormatting>
  <conditionalFormatting sqref="D23">
    <cfRule type="cellIs" dxfId="16" priority="4" operator="equal">
      <formula>0</formula>
    </cfRule>
  </conditionalFormatting>
  <conditionalFormatting sqref="D24">
    <cfRule type="cellIs" dxfId="15" priority="3" operator="equal">
      <formula>0</formula>
    </cfRule>
  </conditionalFormatting>
  <conditionalFormatting sqref="A15">
    <cfRule type="expression" dxfId="14" priority="2">
      <formula>C15&gt;300</formula>
    </cfRule>
  </conditionalFormatting>
  <conditionalFormatting sqref="A23">
    <cfRule type="expression" dxfId="13" priority="1">
      <formula>C23&gt;300</formula>
    </cfRule>
  </conditionalFormatting>
  <dataValidations count="2">
    <dataValidation type="list" allowBlank="1" showInputMessage="1" showErrorMessage="1" sqref="A29">
      <formula1>"Vorschlag 1, Vorschlag 2"</formula1>
    </dataValidation>
    <dataValidation type="list" allowBlank="1" showInputMessage="1" showErrorMessage="1" sqref="A4">
      <formula1>$A$45:$A$63</formula1>
    </dataValidation>
  </dataValidations>
  <hyperlinks>
    <hyperlink ref="A36" r:id="rId1"/>
    <hyperlink ref="A37" r:id="rId2"/>
    <hyperlink ref="A38" r:id="rId3"/>
    <hyperlink ref="A40" r:id="rId4" location="p148215" display="4) Ununnilium (Username): Wasseraufbereitung"/>
    <hyperlink ref="A41" r:id="rId5" display="5) und viele Beiträge im Hobbybrauer-Forum auf hobbybrauer.de, für die ich mich herzlich bedanke"/>
    <hyperlink ref="A39" r:id="rId6" display="4) Schlupf und JackFrost (Usernamen): Noch ein Wasserrechner (nach Braumagazin)"/>
  </hyperlinks>
  <pageMargins left="0.7" right="0.7" top="0.78740157499999996" bottom="0.78740157499999996" header="0.3" footer="0.3"/>
  <pageSetup paperSize="9" orientation="portrait" horizontalDpi="0" verticalDpi="0" r:id="rId7"/>
  <legacyDrawing r:id="rId8"/>
  <tableParts count="1">
    <tablePart r:id="rId9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1" id="{4DD59192-0019-48F2-B8DD-57EF77F9D57C}">
            <x14:iconSet custom="1">
              <x14:cfvo type="percent">
                <xm:f>0</xm:f>
              </x14:cfvo>
              <x14:cfvo type="num">
                <xm:f>$B$10</xm:f>
              </x14:cfvo>
              <x14:cfvo type="num" gte="0">
                <xm:f>$B$9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B8</xm:sqref>
        </x14:conditionalFormatting>
        <x14:conditionalFormatting xmlns:xm="http://schemas.microsoft.com/office/excel/2006/main">
          <x14:cfRule type="iconSet" priority="30" id="{E1B61613-0114-495B-A474-0AD0EA790FD1}">
            <x14:iconSet custom="1">
              <x14:cfvo type="percent">
                <xm:f>0</xm:f>
              </x14:cfvo>
              <x14:cfvo type="num">
                <xm:f>$C$10</xm:f>
              </x14:cfvo>
              <x14:cfvo type="num" gte="0">
                <xm:f>$C$9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C8</xm:sqref>
        </x14:conditionalFormatting>
        <x14:conditionalFormatting xmlns:xm="http://schemas.microsoft.com/office/excel/2006/main">
          <x14:cfRule type="iconSet" priority="29" id="{4E779FFD-E1C4-48E8-BE65-60FE8F571D76}">
            <x14:iconSet custom="1">
              <x14:cfvo type="percent">
                <xm:f>0</xm:f>
              </x14:cfvo>
              <x14:cfvo type="num">
                <xm:f>$D$10</xm:f>
              </x14:cfvo>
              <x14:cfvo type="num" gte="0">
                <xm:f>$D$9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D8</xm:sqref>
        </x14:conditionalFormatting>
        <x14:conditionalFormatting xmlns:xm="http://schemas.microsoft.com/office/excel/2006/main">
          <x14:cfRule type="iconSet" priority="28" id="{BC446E02-EF39-4AB6-9725-BE87DC192BD8}">
            <x14:iconSet custom="1">
              <x14:cfvo type="percent">
                <xm:f>0</xm:f>
              </x14:cfvo>
              <x14:cfvo type="num">
                <xm:f>$E$10</xm:f>
              </x14:cfvo>
              <x14:cfvo type="num" gte="0">
                <xm:f>$E$9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E8</xm:sqref>
        </x14:conditionalFormatting>
        <x14:conditionalFormatting xmlns:xm="http://schemas.microsoft.com/office/excel/2006/main">
          <x14:cfRule type="iconSet" priority="27" id="{FA8DB8D5-2F29-4B84-81DE-5CDE11D874AB}">
            <x14:iconSet custom="1">
              <x14:cfvo type="percent">
                <xm:f>0</xm:f>
              </x14:cfvo>
              <x14:cfvo type="num">
                <xm:f>$H$10</xm:f>
              </x14:cfvo>
              <x14:cfvo type="num" gte="0">
                <xm:f>$H$9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H8</xm:sqref>
        </x14:conditionalFormatting>
        <x14:conditionalFormatting xmlns:xm="http://schemas.microsoft.com/office/excel/2006/main">
          <x14:cfRule type="iconSet" priority="26" id="{2A54D846-A205-4E0E-B81E-3ADBF10FA49D}">
            <x14:iconSet custom="1">
              <x14:cfvo type="percent">
                <xm:f>0</xm:f>
              </x14:cfvo>
              <x14:cfvo type="num">
                <xm:f>$B$10</xm:f>
              </x14:cfvo>
              <x14:cfvo type="num" gte="0">
                <xm:f>$B$9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B18</xm:sqref>
        </x14:conditionalFormatting>
        <x14:conditionalFormatting xmlns:xm="http://schemas.microsoft.com/office/excel/2006/main">
          <x14:cfRule type="iconSet" priority="25" id="{ABBFA9D9-0674-4E8B-A1E1-4DA3F5E1962F}">
            <x14:iconSet custom="1">
              <x14:cfvo type="percent">
                <xm:f>0</xm:f>
              </x14:cfvo>
              <x14:cfvo type="num">
                <xm:f>$C$10</xm:f>
              </x14:cfvo>
              <x14:cfvo type="num" gte="0">
                <xm:f>$C$9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C18</xm:sqref>
        </x14:conditionalFormatting>
        <x14:conditionalFormatting xmlns:xm="http://schemas.microsoft.com/office/excel/2006/main">
          <x14:cfRule type="iconSet" priority="24" id="{DD3AEF76-9FF0-45B4-A41C-C0B60A2B0AAF}">
            <x14:iconSet custom="1">
              <x14:cfvo type="percent">
                <xm:f>0</xm:f>
              </x14:cfvo>
              <x14:cfvo type="num">
                <xm:f>$D$10</xm:f>
              </x14:cfvo>
              <x14:cfvo type="num" gte="0">
                <xm:f>$D$9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D18</xm:sqref>
        </x14:conditionalFormatting>
        <x14:conditionalFormatting xmlns:xm="http://schemas.microsoft.com/office/excel/2006/main">
          <x14:cfRule type="iconSet" priority="23" id="{52086ABB-6ACF-46CB-9B6B-643124123FFD}">
            <x14:iconSet custom="1">
              <x14:cfvo type="percent">
                <xm:f>0</xm:f>
              </x14:cfvo>
              <x14:cfvo type="num">
                <xm:f>$E$10</xm:f>
              </x14:cfvo>
              <x14:cfvo type="num" gte="0">
                <xm:f>$E$9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E18</xm:sqref>
        </x14:conditionalFormatting>
        <x14:conditionalFormatting xmlns:xm="http://schemas.microsoft.com/office/excel/2006/main">
          <x14:cfRule type="iconSet" priority="22" id="{91D4E4F0-B961-44F0-A57C-E102E2633283}">
            <x14:iconSet custom="1">
              <x14:cfvo type="percent">
                <xm:f>0</xm:f>
              </x14:cfvo>
              <x14:cfvo type="num" gte="0">
                <xm:f>$H$10</xm:f>
              </x14:cfvo>
              <x14:cfvo type="num" gte="0">
                <xm:f>$H$9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H18</xm:sqref>
        </x14:conditionalFormatting>
        <x14:conditionalFormatting xmlns:xm="http://schemas.microsoft.com/office/excel/2006/main">
          <x14:cfRule type="iconSet" priority="21" id="{26147A92-D4AC-4E49-9412-47F0BC3D5BB9}">
            <x14:iconSet custom="1">
              <x14:cfvo type="percent">
                <xm:f>0</xm:f>
              </x14:cfvo>
              <x14:cfvo type="num">
                <xm:f>$B$10</xm:f>
              </x14:cfvo>
              <x14:cfvo type="num" gte="0">
                <xm:f>$B$9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B26</xm:sqref>
        </x14:conditionalFormatting>
        <x14:conditionalFormatting xmlns:xm="http://schemas.microsoft.com/office/excel/2006/main">
          <x14:cfRule type="iconSet" priority="20" id="{950CB46B-2F8F-44AB-BF98-AF4B59C00D9A}">
            <x14:iconSet custom="1">
              <x14:cfvo type="percent">
                <xm:f>0</xm:f>
              </x14:cfvo>
              <x14:cfvo type="num">
                <xm:f>$C$10</xm:f>
              </x14:cfvo>
              <x14:cfvo type="num" gte="0">
                <xm:f>$C$9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C26</xm:sqref>
        </x14:conditionalFormatting>
        <x14:conditionalFormatting xmlns:xm="http://schemas.microsoft.com/office/excel/2006/main">
          <x14:cfRule type="iconSet" priority="19" id="{933D5586-D86D-44E1-810B-08CE5A6C256F}">
            <x14:iconSet custom="1">
              <x14:cfvo type="percent">
                <xm:f>0</xm:f>
              </x14:cfvo>
              <x14:cfvo type="num">
                <xm:f>$D$10</xm:f>
              </x14:cfvo>
              <x14:cfvo type="num" gte="0">
                <xm:f>$D$9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D26</xm:sqref>
        </x14:conditionalFormatting>
        <x14:conditionalFormatting xmlns:xm="http://schemas.microsoft.com/office/excel/2006/main">
          <x14:cfRule type="iconSet" priority="18" id="{49245894-BA0D-49F8-98F1-5C08CED5632D}">
            <x14:iconSet custom="1">
              <x14:cfvo type="percent">
                <xm:f>0</xm:f>
              </x14:cfvo>
              <x14:cfvo type="num">
                <xm:f>$E$10</xm:f>
              </x14:cfvo>
              <x14:cfvo type="num" gte="0">
                <xm:f>$E$9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E26</xm:sqref>
        </x14:conditionalFormatting>
        <x14:conditionalFormatting xmlns:xm="http://schemas.microsoft.com/office/excel/2006/main">
          <x14:cfRule type="iconSet" priority="17" id="{0168CCF1-D91C-46B7-9C31-DCBB5116ABB9}">
            <x14:iconSet custom="1">
              <x14:cfvo type="percent">
                <xm:f>0</xm:f>
              </x14:cfvo>
              <x14:cfvo type="num">
                <xm:f>$H$10</xm:f>
              </x14:cfvo>
              <x14:cfvo type="num" gte="0">
                <xm:f>$H$9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H26</xm:sqref>
        </x14:conditionalFormatting>
        <x14:conditionalFormatting xmlns:xm="http://schemas.microsoft.com/office/excel/2006/main">
          <x14:cfRule type="iconSet" priority="16" id="{4EC4DF4C-8DDD-4020-896D-484FE74BCFEE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F26</xm:sqref>
        </x14:conditionalFormatting>
        <x14:conditionalFormatting xmlns:xm="http://schemas.microsoft.com/office/excel/2006/main">
          <x14:cfRule type="iconSet" priority="15" id="{90BE6987-CB06-4526-8F38-1B3FDDDD0DD3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F8</xm:sqref>
        </x14:conditionalFormatting>
        <x14:conditionalFormatting xmlns:xm="http://schemas.microsoft.com/office/excel/2006/main">
          <x14:cfRule type="iconSet" priority="14" id="{0C84AFDB-5C1A-4328-852D-8D690ABAB9DB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F18</xm:sqref>
        </x14:conditionalFormatting>
        <x14:conditionalFormatting xmlns:xm="http://schemas.microsoft.com/office/excel/2006/main">
          <x14:cfRule type="iconSet" priority="13" id="{EE3365C1-CD45-4897-B7C6-25A32F30E2FA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G8</xm:sqref>
        </x14:conditionalFormatting>
        <x14:conditionalFormatting xmlns:xm="http://schemas.microsoft.com/office/excel/2006/main">
          <x14:cfRule type="iconSet" priority="12" id="{89381D07-2E82-4A97-9350-018F1ADBB048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G18</xm:sqref>
        </x14:conditionalFormatting>
        <x14:conditionalFormatting xmlns:xm="http://schemas.microsoft.com/office/excel/2006/main">
          <x14:cfRule type="iconSet" priority="11" id="{7D710231-EC87-489A-9D3E-3CEAD5DE3B86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G26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Tilo</dc:creator>
  <cp:lastModifiedBy>Tilo</cp:lastModifiedBy>
  <dcterms:created xsi:type="dcterms:W3CDTF">2021-03-11T21:04:34Z</dcterms:created>
  <dcterms:modified xsi:type="dcterms:W3CDTF">2021-10-26T14:26:58Z</dcterms:modified>
</cp:coreProperties>
</file>