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6340" windowHeight="10305"/>
  </bookViews>
  <sheets>
    <sheet name="Wasserversorger &amp; Aufbereitung" sheetId="4" r:id="rId1"/>
    <sheet name="Zielmengenrechner" sheetId="1" r:id="rId2"/>
    <sheet name="pH-Wert Maische" sheetId="5" r:id="rId3"/>
    <sheet name="Beispiel" sheetId="2" r:id="rId4"/>
    <sheet name="Infos &amp; Hilfseinträge" sheetId="3" r:id="rId5"/>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0" i="5" l="1"/>
  <c r="K34" i="5"/>
  <c r="W17" i="5"/>
  <c r="AD11" i="5"/>
  <c r="AE11" i="5"/>
  <c r="W19" i="5"/>
  <c r="AD13" i="5"/>
  <c r="AE13" i="5"/>
  <c r="W21" i="5"/>
  <c r="AD15" i="5"/>
  <c r="AE15" i="5"/>
  <c r="W23" i="5"/>
  <c r="AD17" i="5"/>
  <c r="AE17" i="5"/>
  <c r="W25" i="5"/>
  <c r="AD19" i="5"/>
  <c r="AE19" i="5"/>
  <c r="Y25" i="5"/>
  <c r="S30" i="5"/>
  <c r="Y23" i="5" l="1"/>
  <c r="Y19" i="5"/>
  <c r="Y17" i="5"/>
  <c r="Y21" i="5"/>
  <c r="AW5" i="4"/>
  <c r="Y28" i="5" l="1"/>
  <c r="AK5" i="4"/>
  <c r="AL5" i="4"/>
  <c r="R5" i="4"/>
  <c r="AK10" i="4" l="1"/>
  <c r="BD5" i="4"/>
  <c r="U5" i="1"/>
  <c r="BA6" i="4"/>
  <c r="BA5" i="4"/>
  <c r="S31" i="1" l="1"/>
  <c r="S24" i="1"/>
  <c r="S22" i="1"/>
  <c r="S20" i="1"/>
  <c r="S18" i="1"/>
  <c r="L4" i="4" l="1"/>
  <c r="L5" i="4" s="1"/>
  <c r="BE34" i="4"/>
  <c r="BE32" i="4"/>
  <c r="BE30" i="4"/>
  <c r="G30" i="4"/>
  <c r="BE28" i="4"/>
  <c r="BE26" i="4"/>
  <c r="BE25" i="4"/>
  <c r="BE24" i="4"/>
  <c r="G24" i="4"/>
  <c r="BE22" i="4"/>
  <c r="BE21" i="4"/>
  <c r="BE20" i="4"/>
  <c r="BE17" i="4"/>
  <c r="BE16" i="4"/>
  <c r="BE15" i="4"/>
  <c r="BE14" i="4"/>
  <c r="BE13" i="4"/>
  <c r="BE12" i="4"/>
  <c r="G12" i="4"/>
  <c r="G32" i="4" s="1"/>
  <c r="AA6" i="4"/>
  <c r="AA8" i="4" s="1"/>
  <c r="X6" i="4"/>
  <c r="X8" i="4" s="1"/>
  <c r="U6" i="4"/>
  <c r="U8" i="4" s="1"/>
  <c r="O6" i="4"/>
  <c r="AW10" i="4"/>
  <c r="AT5" i="4"/>
  <c r="AT10" i="4" s="1"/>
  <c r="AQ5" i="4"/>
  <c r="AQ10" i="4" s="1"/>
  <c r="AN5" i="4"/>
  <c r="AN10" i="4" s="1"/>
  <c r="AH5" i="4"/>
  <c r="AH10" i="4" s="1"/>
  <c r="AE5" i="4"/>
  <c r="AE10" i="4" s="1"/>
  <c r="AA5" i="4"/>
  <c r="X5" i="4"/>
  <c r="U5" i="4"/>
  <c r="R9" i="4"/>
  <c r="R10" i="4" s="1"/>
  <c r="O5" i="4"/>
  <c r="O9" i="4" l="1"/>
  <c r="O10" i="4" s="1"/>
  <c r="L17" i="4"/>
  <c r="O17" i="4" s="1"/>
  <c r="X17" i="4" s="1"/>
  <c r="AA17" i="4" s="1"/>
  <c r="AE17" i="4" s="1"/>
  <c r="AH17" i="4" s="1"/>
  <c r="BD6" i="4"/>
  <c r="U9" i="4"/>
  <c r="U10" i="4" s="1"/>
  <c r="X9" i="4"/>
  <c r="X10" i="4" s="1"/>
  <c r="AA9" i="4"/>
  <c r="AA10" i="4" s="1"/>
  <c r="G34" i="4"/>
  <c r="L32" i="4"/>
  <c r="G13" i="4"/>
  <c r="G25" i="4"/>
  <c r="AP32" i="3"/>
  <c r="AP38" i="3"/>
  <c r="AP44" i="3"/>
  <c r="AP56" i="3"/>
  <c r="AP62" i="3"/>
  <c r="AP68" i="3"/>
  <c r="K14" i="3"/>
  <c r="AP60" i="3" l="1"/>
  <c r="AO60" i="3" s="1"/>
  <c r="AP63" i="3"/>
  <c r="AO63" i="3" s="1"/>
  <c r="AP66" i="3"/>
  <c r="AO66" i="3" s="1"/>
  <c r="AP64" i="3"/>
  <c r="AO64" i="3" s="1"/>
  <c r="AP58" i="3"/>
  <c r="AO58" i="3" s="1"/>
  <c r="AP57" i="3"/>
  <c r="AO57" i="3" s="1"/>
  <c r="AP35" i="3"/>
  <c r="AO35" i="3" s="1"/>
  <c r="AK17" i="4"/>
  <c r="AN17" i="4" s="1"/>
  <c r="AQ17" i="4" s="1"/>
  <c r="AT17" i="4" s="1"/>
  <c r="AW17" i="4" s="1"/>
  <c r="BA17" i="4" s="1"/>
  <c r="L12" i="4"/>
  <c r="L13" i="4" s="1"/>
  <c r="L21" i="4"/>
  <c r="O21" i="4" s="1"/>
  <c r="X21" i="4" s="1"/>
  <c r="AA21" i="4" s="1"/>
  <c r="AE21" i="4" s="1"/>
  <c r="AH21" i="4" s="1"/>
  <c r="L20" i="4"/>
  <c r="O20" i="4" s="1"/>
  <c r="L15" i="4"/>
  <c r="O15" i="4" s="1"/>
  <c r="R15" i="4" s="1"/>
  <c r="U15" i="4" s="1"/>
  <c r="R17" i="4"/>
  <c r="U17" i="4" s="1"/>
  <c r="L22" i="4"/>
  <c r="O22" i="4" s="1"/>
  <c r="X22" i="4" s="1"/>
  <c r="AA22" i="4" s="1"/>
  <c r="AE22" i="4" s="1"/>
  <c r="AH22" i="4" s="1"/>
  <c r="L14" i="4"/>
  <c r="O14" i="4" s="1"/>
  <c r="L16" i="4"/>
  <c r="O16" i="4" s="1"/>
  <c r="R16" i="4" s="1"/>
  <c r="U16" i="4" s="1"/>
  <c r="L34" i="4"/>
  <c r="G33" i="4"/>
  <c r="L25" i="4"/>
  <c r="G26" i="4"/>
  <c r="L26" i="4" s="1"/>
  <c r="AP43" i="3"/>
  <c r="AO43" i="3" s="1"/>
  <c r="AP41" i="3"/>
  <c r="AO41" i="3" s="1"/>
  <c r="AP39" i="3"/>
  <c r="AO39" i="3" s="1"/>
  <c r="AP33" i="3"/>
  <c r="AO33" i="3" s="1"/>
  <c r="AP61" i="3"/>
  <c r="AO61" i="3" s="1"/>
  <c r="AP59" i="3"/>
  <c r="AO59" i="3" s="1"/>
  <c r="AP36" i="3"/>
  <c r="AO36" i="3" s="1"/>
  <c r="AP34" i="3"/>
  <c r="AO34" i="3" s="1"/>
  <c r="AP67" i="3"/>
  <c r="AO67" i="3" s="1"/>
  <c r="AP65" i="3"/>
  <c r="AO65" i="3" s="1"/>
  <c r="AP42" i="3"/>
  <c r="AO42" i="3" s="1"/>
  <c r="AP40" i="3"/>
  <c r="AO40" i="3" s="1"/>
  <c r="AP37" i="3"/>
  <c r="AO37" i="3" s="1"/>
  <c r="BD17" i="4" l="1"/>
  <c r="BK17" i="4"/>
  <c r="AK22" i="4"/>
  <c r="AN22" i="4" s="1"/>
  <c r="AQ22" i="4" s="1"/>
  <c r="AT22" i="4" s="1"/>
  <c r="AW22" i="4" s="1"/>
  <c r="BA22" i="4" s="1"/>
  <c r="AK21" i="4"/>
  <c r="AN21" i="4" s="1"/>
  <c r="AQ21" i="4" s="1"/>
  <c r="AT21" i="4" s="1"/>
  <c r="AW21" i="4" s="1"/>
  <c r="O12" i="4"/>
  <c r="O13" i="4" s="1"/>
  <c r="R21" i="4"/>
  <c r="U21" i="4" s="1"/>
  <c r="X15" i="4"/>
  <c r="AA15" i="4" s="1"/>
  <c r="AE15" i="4" s="1"/>
  <c r="AH15" i="4" s="1"/>
  <c r="L24" i="4"/>
  <c r="L33" i="4" s="1"/>
  <c r="R22" i="4"/>
  <c r="U22" i="4" s="1"/>
  <c r="X16" i="4"/>
  <c r="AA16" i="4" s="1"/>
  <c r="AE16" i="4" s="1"/>
  <c r="AH16" i="4" s="1"/>
  <c r="L30" i="4"/>
  <c r="L28" i="4"/>
  <c r="G28" i="4"/>
  <c r="X14" i="4"/>
  <c r="O30" i="4"/>
  <c r="R14" i="4"/>
  <c r="X20" i="4"/>
  <c r="O24" i="4"/>
  <c r="R20" i="4"/>
  <c r="BA21" i="4" l="1"/>
  <c r="BD21" i="4" s="1"/>
  <c r="X24" i="1"/>
  <c r="BD22" i="4"/>
  <c r="BK22" i="4"/>
  <c r="AK16" i="4"/>
  <c r="AN16" i="4" s="1"/>
  <c r="AQ16" i="4" s="1"/>
  <c r="AT16" i="4" s="1"/>
  <c r="AW16" i="4" s="1"/>
  <c r="BA16" i="4" s="1"/>
  <c r="AK15" i="4"/>
  <c r="AN15" i="4" s="1"/>
  <c r="AQ15" i="4" s="1"/>
  <c r="AT15" i="4" s="1"/>
  <c r="AW15" i="4" s="1"/>
  <c r="BA15" i="4" s="1"/>
  <c r="BK15" i="4" s="1"/>
  <c r="R12" i="4"/>
  <c r="R13" i="4" s="1"/>
  <c r="O25" i="4"/>
  <c r="O26" i="4" s="1"/>
  <c r="O28" i="4" s="1"/>
  <c r="O32" i="4"/>
  <c r="O34" i="4" s="1"/>
  <c r="R24" i="4"/>
  <c r="U20" i="4"/>
  <c r="U24" i="4" s="1"/>
  <c r="AA14" i="4"/>
  <c r="X30" i="4"/>
  <c r="R30" i="4"/>
  <c r="U14" i="4"/>
  <c r="U30" i="4" s="1"/>
  <c r="AA20" i="4"/>
  <c r="X24" i="4"/>
  <c r="AJ20" i="1" l="1"/>
  <c r="K39" i="5"/>
  <c r="E41" i="1"/>
  <c r="E39" i="5"/>
  <c r="AP20" i="1"/>
  <c r="BK21" i="4"/>
  <c r="CU24" i="1" s="1"/>
  <c r="X20" i="1"/>
  <c r="BK16" i="4"/>
  <c r="K42" i="1" s="1"/>
  <c r="BD16" i="4"/>
  <c r="BD15" i="4"/>
  <c r="U12" i="4"/>
  <c r="X12" i="4" s="1"/>
  <c r="O33" i="4"/>
  <c r="R25" i="4"/>
  <c r="R33" i="4" s="1"/>
  <c r="R32" i="4"/>
  <c r="R34" i="4" s="1"/>
  <c r="AA30" i="4"/>
  <c r="AE14" i="4"/>
  <c r="AE20" i="4"/>
  <c r="AA24" i="4"/>
  <c r="DF20" i="1"/>
  <c r="CU20" i="1"/>
  <c r="CI20" i="1"/>
  <c r="BW20" i="1"/>
  <c r="BK20" i="1"/>
  <c r="AR20" i="1"/>
  <c r="DA20" i="1"/>
  <c r="CL20" i="1"/>
  <c r="BT20" i="1"/>
  <c r="BE20" i="1"/>
  <c r="Z20" i="1"/>
  <c r="K41" i="1"/>
  <c r="CR20" i="1"/>
  <c r="BZ20" i="1"/>
  <c r="AV20" i="1"/>
  <c r="CO20" i="1"/>
  <c r="BQ20" i="1"/>
  <c r="DD20" i="1"/>
  <c r="BN20" i="1"/>
  <c r="CX20" i="1"/>
  <c r="BH20" i="1"/>
  <c r="AN20" i="1"/>
  <c r="CF20" i="1"/>
  <c r="CC20" i="1"/>
  <c r="E40" i="1" l="1"/>
  <c r="BT24" i="1"/>
  <c r="E38" i="5"/>
  <c r="Z24" i="1"/>
  <c r="BK24" i="1"/>
  <c r="BH24" i="1"/>
  <c r="CF24" i="1"/>
  <c r="CI24" i="1"/>
  <c r="BW24" i="1"/>
  <c r="CO24" i="1"/>
  <c r="BZ24" i="1"/>
  <c r="BN24" i="1"/>
  <c r="DA24" i="1"/>
  <c r="CL24" i="1"/>
  <c r="AT24" i="1"/>
  <c r="BQ24" i="1"/>
  <c r="CC24" i="1"/>
  <c r="DF24" i="1"/>
  <c r="CR24" i="1"/>
  <c r="BE24" i="1"/>
  <c r="AR24" i="1"/>
  <c r="CX24" i="1"/>
  <c r="DD24" i="1"/>
  <c r="U32" i="4"/>
  <c r="U34" i="4" s="1"/>
  <c r="U25" i="4"/>
  <c r="U26" i="4" s="1"/>
  <c r="U13" i="4"/>
  <c r="R26" i="4"/>
  <c r="R28" i="4" s="1"/>
  <c r="AE24" i="4"/>
  <c r="AH20" i="4"/>
  <c r="AK20" i="4" s="1"/>
  <c r="AE30" i="4"/>
  <c r="AH14" i="4"/>
  <c r="AK14" i="4" s="1"/>
  <c r="X13" i="4"/>
  <c r="X25" i="4"/>
  <c r="X32" i="4"/>
  <c r="X34" i="4" s="1"/>
  <c r="AA12" i="4"/>
  <c r="AK24" i="4" l="1"/>
  <c r="AN20" i="4"/>
  <c r="AK30" i="4"/>
  <c r="AN14" i="4"/>
  <c r="U28" i="4"/>
  <c r="U33" i="4"/>
  <c r="AH24" i="4"/>
  <c r="X33" i="4"/>
  <c r="X26" i="4"/>
  <c r="X28" i="4" s="1"/>
  <c r="AH30" i="4"/>
  <c r="AA32" i="4"/>
  <c r="AA34" i="4" s="1"/>
  <c r="AA25" i="4"/>
  <c r="AE12" i="4"/>
  <c r="AA13" i="4"/>
  <c r="AE13" i="4" s="1"/>
  <c r="AH13" i="4" s="1"/>
  <c r="AK13" i="4" l="1"/>
  <c r="AN13" i="4" s="1"/>
  <c r="AQ13" i="4" s="1"/>
  <c r="AT13" i="4" s="1"/>
  <c r="AW13" i="4" s="1"/>
  <c r="AQ20" i="4"/>
  <c r="AN24" i="4"/>
  <c r="AQ14" i="4"/>
  <c r="AN30" i="4"/>
  <c r="AE32" i="4"/>
  <c r="AE34" i="4" s="1"/>
  <c r="AE25" i="4"/>
  <c r="AH12" i="4"/>
  <c r="AK12" i="4" s="1"/>
  <c r="AA33" i="4"/>
  <c r="AA26" i="4"/>
  <c r="AA28" i="4" s="1"/>
  <c r="BA13" i="4" l="1"/>
  <c r="AW12" i="4"/>
  <c r="AW25" i="4" s="1"/>
  <c r="AK32" i="4"/>
  <c r="AK34" i="4" s="1"/>
  <c r="AN12" i="4"/>
  <c r="AK25" i="4"/>
  <c r="AE33" i="4"/>
  <c r="AE26" i="4"/>
  <c r="AE28" i="4" s="1"/>
  <c r="AQ24" i="4"/>
  <c r="AT20" i="4"/>
  <c r="AH32" i="4"/>
  <c r="AH34" i="4" s="1"/>
  <c r="AH25" i="4"/>
  <c r="AQ30" i="4"/>
  <c r="AT14" i="4"/>
  <c r="AK26" i="4" l="1"/>
  <c r="AK28" i="4" s="1"/>
  <c r="AK33" i="4"/>
  <c r="BA12" i="4"/>
  <c r="BD13" i="4"/>
  <c r="AH33" i="4"/>
  <c r="AH26" i="4"/>
  <c r="AH28" i="4" s="1"/>
  <c r="AT30" i="4"/>
  <c r="AW14" i="4"/>
  <c r="X18" i="1" s="1"/>
  <c r="AN25" i="4"/>
  <c r="AN32" i="4"/>
  <c r="AN34" i="4" s="1"/>
  <c r="AQ12" i="4"/>
  <c r="AT24" i="4"/>
  <c r="AW20" i="4"/>
  <c r="BD12" i="4" l="1"/>
  <c r="BK12" i="4"/>
  <c r="BA25" i="4"/>
  <c r="BD25" i="4" s="1"/>
  <c r="BA20" i="4"/>
  <c r="BA24" i="4" s="1"/>
  <c r="X22" i="1"/>
  <c r="BA14" i="4"/>
  <c r="AQ32" i="4"/>
  <c r="AQ34" i="4" s="1"/>
  <c r="AQ25" i="4"/>
  <c r="AT12" i="4"/>
  <c r="AW24" i="4"/>
  <c r="AW32" i="4"/>
  <c r="AN33" i="4"/>
  <c r="AN26" i="4"/>
  <c r="AN28" i="4" s="1"/>
  <c r="AW30" i="4"/>
  <c r="BK25" i="4" l="1"/>
  <c r="BK13" i="4"/>
  <c r="BK20" i="4"/>
  <c r="BD20" i="4"/>
  <c r="BA32" i="4"/>
  <c r="BD32" i="4" s="1"/>
  <c r="BD14" i="4"/>
  <c r="BA30" i="4"/>
  <c r="BD30" i="4" s="1"/>
  <c r="BK14" i="4"/>
  <c r="K38" i="5" s="1"/>
  <c r="BA26" i="4"/>
  <c r="BD24" i="4"/>
  <c r="BA33" i="4"/>
  <c r="BD33" i="4" s="1"/>
  <c r="AT32" i="4"/>
  <c r="AT34" i="4" s="1"/>
  <c r="AT25" i="4"/>
  <c r="AQ33" i="4"/>
  <c r="AQ26" i="4"/>
  <c r="AQ28" i="4" s="1"/>
  <c r="AW26" i="4"/>
  <c r="AW33" i="4"/>
  <c r="AW34" i="4"/>
  <c r="AP22" i="1" l="1"/>
  <c r="E37" i="5"/>
  <c r="K39" i="1"/>
  <c r="K37" i="5"/>
  <c r="AT18" i="1"/>
  <c r="AH18" i="1"/>
  <c r="BK24" i="4"/>
  <c r="BK26" i="4" s="1"/>
  <c r="K34" i="1" s="1"/>
  <c r="CC22" i="1"/>
  <c r="AN22" i="1"/>
  <c r="BQ22" i="1"/>
  <c r="AL22" i="1"/>
  <c r="DF22" i="1"/>
  <c r="BW22" i="1"/>
  <c r="BK32" i="4"/>
  <c r="CU22" i="1"/>
  <c r="BT22" i="1"/>
  <c r="CI22" i="1"/>
  <c r="CL22" i="1"/>
  <c r="CR22" i="1"/>
  <c r="BA34" i="4"/>
  <c r="BD34" i="4" s="1"/>
  <c r="BK30" i="4"/>
  <c r="CF22" i="1"/>
  <c r="BE22" i="1"/>
  <c r="DA22" i="1"/>
  <c r="BZ22" i="1"/>
  <c r="DD22" i="1"/>
  <c r="CX22" i="1"/>
  <c r="BN22" i="1"/>
  <c r="BH22" i="1"/>
  <c r="E39" i="1"/>
  <c r="BK22" i="1"/>
  <c r="Z22" i="1"/>
  <c r="CO22" i="1"/>
  <c r="CI18" i="1"/>
  <c r="DA18" i="1"/>
  <c r="CU18" i="1"/>
  <c r="CX18" i="1"/>
  <c r="CL18" i="1"/>
  <c r="BW18" i="1"/>
  <c r="BE18" i="1"/>
  <c r="CF18" i="1"/>
  <c r="BZ18" i="1"/>
  <c r="Z18" i="1"/>
  <c r="BH18" i="1"/>
  <c r="DD18" i="1"/>
  <c r="DF18" i="1"/>
  <c r="K40" i="1"/>
  <c r="CO18" i="1"/>
  <c r="AL18" i="1"/>
  <c r="CR18" i="1"/>
  <c r="BQ18" i="1"/>
  <c r="BK18" i="1"/>
  <c r="BT18" i="1"/>
  <c r="BN18" i="1"/>
  <c r="CC18" i="1"/>
  <c r="BD26" i="4"/>
  <c r="BA28" i="4"/>
  <c r="BD28" i="4" s="1"/>
  <c r="AT33" i="4"/>
  <c r="AT26" i="4"/>
  <c r="AT28" i="4" s="1"/>
  <c r="AW28" i="4"/>
  <c r="AJ31" i="1" l="1"/>
  <c r="AH31" i="1"/>
  <c r="AF31" i="1"/>
  <c r="AP29" i="1"/>
  <c r="AH29" i="1"/>
  <c r="AJ29" i="1"/>
  <c r="AP31" i="1"/>
  <c r="AB31" i="1"/>
  <c r="CO31" i="1"/>
  <c r="BE31" i="1"/>
  <c r="Z31" i="1"/>
  <c r="AR31" i="1"/>
  <c r="DA31" i="1"/>
  <c r="DF31" i="1"/>
  <c r="BQ31" i="1"/>
  <c r="BZ31" i="1"/>
  <c r="CL31" i="1"/>
  <c r="BT31" i="1"/>
  <c r="BW31" i="1"/>
  <c r="BK31" i="1"/>
  <c r="CU31" i="1"/>
  <c r="BK34" i="4"/>
  <c r="Y30" i="5" s="1"/>
  <c r="DD31" i="1"/>
  <c r="AL31" i="1"/>
  <c r="CX31" i="1"/>
  <c r="CF31" i="1"/>
  <c r="AD31" i="1"/>
  <c r="BH31" i="1"/>
  <c r="AN31" i="1"/>
  <c r="CI31" i="1"/>
  <c r="BN31" i="1"/>
  <c r="CC31" i="1"/>
  <c r="CR31" i="1"/>
  <c r="AX31" i="1"/>
  <c r="AT31" i="1"/>
  <c r="AV29" i="1"/>
  <c r="BK28" i="4"/>
  <c r="AM53" i="3" s="1"/>
  <c r="AN29" i="1"/>
  <c r="AM29" i="3"/>
  <c r="AM32" i="3" s="1"/>
  <c r="AL33" i="3" s="1"/>
  <c r="AO29" i="3"/>
  <c r="AP29" i="3" s="1"/>
  <c r="AP28" i="3" s="1"/>
  <c r="K35" i="1"/>
  <c r="AR29" i="1"/>
  <c r="AL29" i="1"/>
  <c r="AT29" i="1"/>
  <c r="V35" i="5" l="1"/>
  <c r="X35" i="5" s="1"/>
  <c r="AM77" i="3"/>
  <c r="AM80" i="3" s="1"/>
  <c r="Y35" i="5"/>
  <c r="AJ27" i="1"/>
  <c r="AH27" i="1"/>
  <c r="AF27" i="1"/>
  <c r="AP27" i="1"/>
  <c r="AB27" i="1"/>
  <c r="AO53" i="3"/>
  <c r="AP53" i="3" s="1"/>
  <c r="AP52" i="3" s="1"/>
  <c r="AT27" i="1"/>
  <c r="AN27" i="1"/>
  <c r="AX27" i="1"/>
  <c r="AR27" i="1"/>
  <c r="AM34" i="3"/>
  <c r="AL27" i="1"/>
  <c r="AD27" i="1"/>
  <c r="AM56" i="3"/>
  <c r="AL57" i="3" s="1"/>
  <c r="AM82" i="3" l="1"/>
  <c r="AL81" i="3"/>
  <c r="AM58" i="3"/>
</calcChain>
</file>

<file path=xl/comments1.xml><?xml version="1.0" encoding="utf-8"?>
<comments xmlns="http://schemas.openxmlformats.org/spreadsheetml/2006/main">
  <authors>
    <author>Teilnehmer-KW22-2023</author>
  </authors>
  <commentList>
    <comment ref="L4" authorId="0">
      <text>
        <r>
          <rPr>
            <sz val="9"/>
            <color indexed="81"/>
            <rFont val="Segoe UI"/>
            <family val="2"/>
          </rPr>
          <t>Eingabe im Zielmengenrechner</t>
        </r>
      </text>
    </comment>
    <comment ref="AK7" authorId="0">
      <text>
        <r>
          <rPr>
            <sz val="9"/>
            <color indexed="81"/>
            <rFont val="Segoe UI"/>
            <family val="2"/>
          </rPr>
          <t>https://www.periodensystem-online.de/index.php?id=lists&amp;form=Dichtewerte&amp;sst=23</t>
        </r>
      </text>
    </comment>
    <comment ref="AK8" authorId="0">
      <text>
        <r>
          <rPr>
            <sz val="9"/>
            <color indexed="81"/>
            <rFont val="Segoe UI"/>
            <family val="2"/>
          </rPr>
          <t>https://www.periodensystem-online.de/index.php?id=lists&amp;form=Dichtewerte&amp;sst=23</t>
        </r>
      </text>
    </comment>
    <comment ref="R9" authorId="0">
      <text>
        <r>
          <rPr>
            <sz val="9"/>
            <color indexed="81"/>
            <rFont val="Segoe UI"/>
            <family val="2"/>
          </rPr>
          <t>2% Milchsäure angenommen</t>
        </r>
      </text>
    </comment>
    <comment ref="E11" authorId="0">
      <text>
        <r>
          <rPr>
            <sz val="9"/>
            <color indexed="81"/>
            <rFont val="Segoe UI"/>
            <family val="2"/>
          </rPr>
          <t>Die temporäre Härte, die als Kesselstein ausfallen kann. Stellt sich der Säure aus dem Malz entgegen und erhöht damit den pH der Maische.</t>
        </r>
      </text>
    </comment>
    <comment ref="X12" authorId="0">
      <text>
        <r>
          <rPr>
            <sz val="9"/>
            <color indexed="81"/>
            <rFont val="Segoe UI"/>
            <family val="2"/>
          </rPr>
          <t xml:space="preserve">Mit 1 mol Schwefelsäure können wegen der zwei H+ Protonen 2 mol HCO3- neutralisisert werden
</t>
        </r>
      </text>
    </comment>
    <comment ref="BJ12" authorId="0">
      <text>
        <r>
          <rPr>
            <sz val="9"/>
            <color indexed="81"/>
            <rFont val="Segoe UI"/>
            <family val="2"/>
          </rPr>
          <t>Die temporäre Härte, die als Kesselstein ausfallen kann. Stellt sich der Säure aus dem Malz entgegen und erhöht damit den pH der Maische.</t>
        </r>
      </text>
    </comment>
    <comment ref="E14" authorId="0">
      <text>
        <r>
          <rPr>
            <sz val="9"/>
            <color indexed="81"/>
            <rFont val="Segoe UI"/>
            <family val="2"/>
          </rPr>
          <t>Kann einen trockenen, hopfigen Trunk betonen. Vorsichtig bei hohen Magnesiumwerten, es entsteht Magnesiumsulfat (Bittersalz). Für einen spürbaren Effekt auf die Bitterwahrnehmung sind Werte von 200-250 mg/L anzustreben, der dabei entstehende Hopfencharakter wird vielfach als zupackender und nachhaltiger beschrieben. Dies kann für manche hopfenbetonten Biere vorteilhaft sein, aber etwa in hellen Lagerbieren süddeutscher oder böhmischer Brauart stören.</t>
        </r>
      </text>
    </comment>
    <comment ref="X14" authorId="0">
      <text>
        <r>
          <rPr>
            <sz val="9"/>
            <color indexed="81"/>
            <rFont val="Segoe UI"/>
            <family val="2"/>
          </rPr>
          <t>Faktor 1000 Umrechnung g --&gt; mg
und Korrektur des molgewichts, da nur Anion betrachtet wird, Wasserstoff fällt weg</t>
        </r>
      </text>
    </comment>
    <comment ref="BJ14" authorId="0">
      <text>
        <r>
          <rPr>
            <sz val="9"/>
            <color indexed="81"/>
            <rFont val="Segoe UI"/>
            <family val="2"/>
          </rPr>
          <t>Kann einen trockenen, hopfigen Trunk betonen. Vorsichtig bei hohen Magnesiumwerten, es entsteht Magnesiumsulfat (Bittersalz). Für einen spürbaren Effekt auf die Bitterwahrnehmung sind Werte von 200-250 mg/L anzustreben, der dabei entstehende Hopfencharakter wird vielfach als zupackender und nachhaltiger beschrieben. Dies kann für manche hopfenbetonten Biere vorteilhaft sein, aber etwa in hellen Lagerbieren süddeutscher oder böhmischer Brauart stören.</t>
        </r>
      </text>
    </comment>
    <comment ref="E15" authorId="0">
      <text>
        <r>
          <rPr>
            <sz val="9"/>
            <color indexed="81"/>
            <rFont val="Segoe UI"/>
            <family val="2"/>
          </rPr>
          <t>Das Anion, das Kochsalz "salzig" schmecken lässt. Werte von 50-100mg/l können die Vollmundigkeit heben. Werte ab 300 mg/l können in Verbindung mit Natrium und Kalium für einen unangenehm salzigen Beigeschmack führen, der wiederum dem Empfinden der Vollmundigkeit abträglich ist.</t>
        </r>
      </text>
    </comment>
    <comment ref="AA15" authorId="0">
      <text>
        <r>
          <rPr>
            <sz val="9"/>
            <color indexed="81"/>
            <rFont val="Segoe UI"/>
            <family val="2"/>
          </rPr>
          <t xml:space="preserve">Faktor 1000 Umrechnung g --&gt; mg
und Korrektur des molgewichts, da nur Anion betrachtet wird, Wasserstoff fällt weg
</t>
        </r>
      </text>
    </comment>
    <comment ref="AK15" authorId="0">
      <text>
        <r>
          <rPr>
            <sz val="9"/>
            <color indexed="81"/>
            <rFont val="Segoe UI"/>
            <family val="2"/>
          </rPr>
          <t>Molmasse von 2 Chloratomen: 70,906 g/mol</t>
        </r>
      </text>
    </comment>
    <comment ref="BJ15" authorId="0">
      <text>
        <r>
          <rPr>
            <sz val="9"/>
            <color indexed="81"/>
            <rFont val="Segoe UI"/>
            <family val="2"/>
          </rPr>
          <t>Das Anion, das Kochsalz "salzig" schmecken lässt. Werte von 50-100mg/l können die Vollmundigkeit heben. Werte ab 300 mg/l können in Verbindung mit Natrium und Kalium für einen unangenehm salzigen Beigeschmack führen, der wiederum dem Empfinden der Vollmundigkeit abträglich ist.</t>
        </r>
      </text>
    </comment>
    <comment ref="E16" authorId="0">
      <text>
        <r>
          <rPr>
            <sz val="9"/>
            <color indexed="81"/>
            <rFont val="Segoe UI"/>
            <family val="2"/>
          </rPr>
          <t xml:space="preserve">Kann durch Mikroorganismen während der Gärung zu Nitrit reduziert werden, siehe dort. Überprüfung insbesondere bei Brunnenwasser sinnvoll. Bei Gärproblemen testweiser Verschnitt mit vollentsalztem Wasser anzuraten.
</t>
        </r>
      </text>
    </comment>
    <comment ref="BJ16" authorId="0">
      <text>
        <r>
          <rPr>
            <sz val="9"/>
            <color indexed="81"/>
            <rFont val="Segoe UI"/>
            <family val="2"/>
          </rPr>
          <t xml:space="preserve">Kann durch Mikroorganismen während der Gärung zu Nitrit reduziert werden, siehe dort. Überprüfung insbesondere bei Brunnenwasser sinnvoll. Bei Gärproblemen testweiser Verschnitt mit vollentsalztem Wasser anzuraten.
</t>
        </r>
      </text>
    </comment>
    <comment ref="E17" authorId="0">
      <text>
        <r>
          <rPr>
            <sz val="9"/>
            <color indexed="81"/>
            <rFont val="Segoe UI"/>
            <family val="2"/>
          </rPr>
          <t xml:space="preserve">Wirkt stark hemmend auf die Hefe. Wird daher etwa in Pökelsalz zur Konservierung eingesetzt.
</t>
        </r>
      </text>
    </comment>
    <comment ref="BJ17" authorId="0">
      <text>
        <r>
          <rPr>
            <sz val="9"/>
            <color indexed="81"/>
            <rFont val="Segoe UI"/>
            <family val="2"/>
          </rPr>
          <t xml:space="preserve">Wirkt stark hemmend auf die Hefe. Wird daher etwa in Pökelsalz zur Konservierung eingesetzt.
</t>
        </r>
      </text>
    </comment>
    <comment ref="E20" authorId="0">
      <text>
        <r>
          <rPr>
            <sz val="9"/>
            <color indexed="81"/>
            <rFont val="Segoe UI"/>
            <family val="2"/>
          </rPr>
          <t xml:space="preserve">Senkt den pH der Maische und begünstigt dadurch enzymatische Vorgänge. Wichtiger Hefenährstoff und begünstigt die Klärung des Bieres. Werte wesentlich über 200 mg/L können einen mineralischen Beigeschmack haben, darunter gilt Calcium als geschmacksneutral.
</t>
        </r>
      </text>
    </comment>
    <comment ref="AK20" authorId="0">
      <text>
        <r>
          <rPr>
            <b/>
            <sz val="9"/>
            <color indexed="81"/>
            <rFont val="Segoe UI"/>
            <family val="2"/>
          </rPr>
          <t>Molmasse von Calcium: 40,078 g/mol</t>
        </r>
      </text>
    </comment>
    <comment ref="BJ20" authorId="0">
      <text>
        <r>
          <rPr>
            <sz val="9"/>
            <color indexed="81"/>
            <rFont val="Segoe UI"/>
            <family val="2"/>
          </rPr>
          <t xml:space="preserve">Senkt den pH der Maische und begünstigt dadurch enzymatische Vorgänge. Wichtiger Hefenährstoff und begünstigt die Klärung des Bieres. Werte wesentlich über 200 mg/L können einen mineralischen Beigeschmack haben, darunter gilt Calcium als geschmacksneutral.
</t>
        </r>
      </text>
    </comment>
    <comment ref="E21" authorId="0">
      <text>
        <r>
          <rPr>
            <sz val="9"/>
            <color indexed="81"/>
            <rFont val="Segoe UI"/>
            <family val="2"/>
          </rPr>
          <t>Senkt den pH der Maische ebenfalls, aber nur halb so gut wie Calcium. Magnesium ist essentiell für die Hefe, aber da durch Malz per °Plato etwa 7mg/L eingebracht wird, sollte dieser Wert insbesondere bei hohen Stammwürzen klein gehalten werden. Die Folgen zu hoher Werte werden mit einer zunächst säuerlichen, dann zunehmend adstringierenden Wirkung beschrieben. In Stout und Porter kann der typische säuerlich-bissige Charakter der Röstmalze durch 30-40 mg/L Magnesium unterstützt werden.</t>
        </r>
      </text>
    </comment>
    <comment ref="BJ21" authorId="0">
      <text>
        <r>
          <rPr>
            <sz val="9"/>
            <color indexed="81"/>
            <rFont val="Segoe UI"/>
            <family val="2"/>
          </rPr>
          <t>Senkt den pH der Maische ebenfalls, aber nur halb so gut wie Calcium. Magnesium ist essentiell für die Hefe, aber da durch Malz per °Plato etwa 7mg/L eingebracht wird, sollte dieser Wert insbesondere bei hohen Stammwürzen klein gehalten werden. Die Folgen zu hoher Werte werden mit einer zunächst säuerlichen, dann zunehmend adstringierenden Wirkung beschrieben. In Stout und Porter kann der typische säuerlich-bissige Charakter der Röstmalze durch 30-40 mg/L Magnesium unterstützt werden.</t>
        </r>
      </text>
    </comment>
    <comment ref="E22" authorId="0">
      <text>
        <r>
          <rPr>
            <sz val="9"/>
            <color indexed="81"/>
            <rFont val="Segoe UI"/>
            <family val="2"/>
          </rPr>
          <t>Kann bis 100 mg/l die Vollmundigkeit betonen. Vorsicht jedoch bei hohen Chloridwerten, zusammen mit den hohen Kaliumwerten aus Malz ergibt sich schnell ein salziger Beigeschmack. Der Wert sollte im Zweifelsfall klein gehalten werden.</t>
        </r>
      </text>
    </comment>
    <comment ref="BJ22" authorId="0">
      <text>
        <r>
          <rPr>
            <sz val="9"/>
            <color indexed="81"/>
            <rFont val="Segoe UI"/>
            <family val="2"/>
          </rPr>
          <t>Kann bis 100 mg/l die Vollmundigkeit betonen. Vorsicht jedoch bei hohen Chloridwerten, zusammen mit den hohen Kaliumwerten aus Malz ergibt sich schnell ein salziger Beigeschmack. Der Wert sollte im Zweifelsfall klein gehalten werden.</t>
        </r>
      </text>
    </comment>
  </commentList>
</comments>
</file>

<file path=xl/comments2.xml><?xml version="1.0" encoding="utf-8"?>
<comments xmlns="http://schemas.openxmlformats.org/spreadsheetml/2006/main">
  <authors>
    <author>Teilnehmer-KW22-2023</author>
    <author>Carsten Weinhold</author>
  </authors>
  <commentList>
    <comment ref="U5" authorId="0">
      <text>
        <r>
          <rPr>
            <sz val="9"/>
            <color indexed="81"/>
            <rFont val="Segoe UI"/>
            <family val="2"/>
          </rPr>
          <t>Menge Brauwasser abzüglich Kaufwasser abzüglich entionisiertes Wasser</t>
        </r>
      </text>
    </comment>
    <comment ref="AH5" authorId="0">
      <text>
        <r>
          <rPr>
            <sz val="9"/>
            <color indexed="81"/>
            <rFont val="Segoe UI"/>
            <family val="2"/>
          </rPr>
          <t>Die Konzentration und Dichte aus Feldern Q5 und Q7 wird berücksichtigt</t>
        </r>
      </text>
    </comment>
    <comment ref="AJ5" authorId="0">
      <text>
        <r>
          <rPr>
            <sz val="9"/>
            <color indexed="81"/>
            <rFont val="Segoe UI"/>
            <family val="2"/>
          </rPr>
          <t>Die Konzentration und Dichte aus Feldern T5 und T7 wird berücksichtigt</t>
        </r>
      </text>
    </comment>
    <comment ref="X9" authorId="1">
      <text>
        <r>
          <rPr>
            <b/>
            <sz val="9"/>
            <color indexed="81"/>
            <rFont val="Tahoma"/>
            <charset val="1"/>
          </rPr>
          <t>Carsten Weinhold:</t>
        </r>
        <r>
          <rPr>
            <sz val="9"/>
            <color indexed="81"/>
            <rFont val="Tahoma"/>
            <charset val="1"/>
          </rPr>
          <t xml:space="preserve">
zusätzliche Einträge sind möglich auf der Registerkarte "Infos &amp; Hilfseinträge"</t>
        </r>
      </text>
    </comment>
    <comment ref="AH13" authorId="0">
      <text>
        <r>
          <rPr>
            <sz val="9"/>
            <color indexed="81"/>
            <rFont val="Segoe UI"/>
            <family val="2"/>
          </rPr>
          <t>Die Konzentration und Dichte aus Feldern Q5 und Q7 wird berücksichtigt</t>
        </r>
      </text>
    </comment>
    <comment ref="AJ13" authorId="0">
      <text>
        <r>
          <rPr>
            <sz val="9"/>
            <color indexed="81"/>
            <rFont val="Segoe UI"/>
            <family val="2"/>
          </rPr>
          <t>Die Konzentration und Dichte aus Feldern T5 und T7 wird berücksichtigt</t>
        </r>
      </text>
    </comment>
    <comment ref="Q18" authorId="0">
      <text>
        <r>
          <rPr>
            <sz val="9"/>
            <color indexed="81"/>
            <rFont val="Segoe UI"/>
            <family val="2"/>
          </rPr>
          <t>Kann einen trockenen, hopfigen Trunk betonen. Vorsichtig bei hohen Magnesiumwerten, es entsteht Magnesiumsulfat (Bittersalz). Für einen spürbaren Effekt auf die Bitterwahrnehmung sind Werte von 200-250 mg/L anzustreben, der dabei entstehende Hopfencharakter wird vielfach als zupackender und nachhaltiger beschrieben. Dies kann für manche hopfenbetonten Biere vorteilhaft sein, aber etwa in hellen Lagerbieren süddeutscher oder böhmischer Brauart stören.</t>
        </r>
      </text>
    </comment>
    <comment ref="X18" authorId="0">
      <text>
        <r>
          <rPr>
            <sz val="9"/>
            <color indexed="81"/>
            <rFont val="Segoe UI"/>
            <family val="2"/>
          </rPr>
          <t>Zelle wird rot formatiert, wenn die rechnerisch notwendige Menge entionisiertes Wasser 
- größer als die benötigte Gesamtwassermenge für das Brauvorhaben ist, oder
- negativ wird</t>
        </r>
      </text>
    </comment>
    <comment ref="Q20" authorId="0">
      <text>
        <r>
          <rPr>
            <sz val="9"/>
            <color indexed="81"/>
            <rFont val="Segoe UI"/>
            <family val="2"/>
          </rPr>
          <t>Das Anion, das Kochsalz "salzig" schmecken lässt. Werte von 50-100mg/l können die Vollmundigkeit heben. Werte ab 300 mg/l können in Verbindung mit Natrium und Kalium für einen unangenehm salzigen Beigeschmack führen, der wiederum dem Empfinden der Vollmundigkeit abträglich ist.</t>
        </r>
      </text>
    </comment>
    <comment ref="X20" authorId="0">
      <text>
        <r>
          <rPr>
            <sz val="9"/>
            <color indexed="81"/>
            <rFont val="Segoe UI"/>
            <family val="2"/>
          </rPr>
          <t>Zelle wird rot formatiert, wenn die rechnerisch notwendige Menge entionisiertes Wasser 
- größer als die benötigte Gesamtwassermenge für das Brauvorhaben ist, oder
- negativ wird</t>
        </r>
      </text>
    </comment>
    <comment ref="Q22" authorId="0">
      <text>
        <r>
          <rPr>
            <sz val="9"/>
            <color indexed="81"/>
            <rFont val="Segoe UI"/>
            <family val="2"/>
          </rPr>
          <t xml:space="preserve">Senkt den pH der Maische und begünstigt dadurch enzymatische Vorgänge. Wichtiger Hefenährstoff und begünstigt die Klärung des Bieres. Werte wesentlich über 200 mg/L können einen mineralischen Beigeschmack haben, darunter gilt Calcium als geschmacksneutral.
</t>
        </r>
      </text>
    </comment>
    <comment ref="X22" authorId="0">
      <text>
        <r>
          <rPr>
            <sz val="9"/>
            <color indexed="81"/>
            <rFont val="Segoe UI"/>
            <family val="2"/>
          </rPr>
          <t>Zelle wird rot formatiert, wenn die rechnerisch notwendige Menge entionisiertes Wasser 
- größer als die benötigte Gesamtwassermenge für das Brauvorhaben ist, oder
- negativ wird</t>
        </r>
      </text>
    </comment>
    <comment ref="Q24" authorId="0">
      <text>
        <r>
          <rPr>
            <sz val="9"/>
            <color indexed="81"/>
            <rFont val="Segoe UI"/>
            <family val="2"/>
          </rPr>
          <t>Senkt den pH der Maische ebenfalls, aber nur halb so gut wie Calcium. Magnesium ist essentiell für die Hefe, aber da durch Malz per °Plato etwa 7mg/L eingebracht wird, sollte dieser Wert insbesondere bei hohen Stammwürzen klein gehalten werden. Die Folgen zu hoher Werte werden mit einer zunächst säuerlichen, dann zunehmend adstringierenden Wirkung beschrieben. In Stout und Porter kann der typische säuerlich-bissige Charakter der Röstmalze durch 30-40 mg/L Magnesium unterstützt werden.</t>
        </r>
      </text>
    </comment>
    <comment ref="X24" authorId="0">
      <text>
        <r>
          <rPr>
            <sz val="9"/>
            <color indexed="81"/>
            <rFont val="Segoe UI"/>
            <family val="2"/>
          </rPr>
          <t>Zelle wird rot formatiert, wenn die rechnerisch notwendige Menge entionisiertes Wasser 
- größer als die benötigte Gesamtwassermenge für das Brauvorhaben ist, oder
- negativ wird</t>
        </r>
      </text>
    </comment>
    <comment ref="Z31" authorId="0">
      <text>
        <r>
          <rPr>
            <sz val="9"/>
            <color indexed="81"/>
            <rFont val="Segoe UI"/>
            <family val="2"/>
          </rPr>
          <t>Zelle wird rot formatiert, wenn die rechnerisch notwendige Menge entionisiertes Wasser 
- größer als die benötigte Gesamtwassermenge für das Brauvorhaben ist, oder
- negativ wird</t>
        </r>
      </text>
    </comment>
    <comment ref="AH34" authorId="0">
      <text>
        <r>
          <rPr>
            <sz val="9"/>
            <color indexed="81"/>
            <rFont val="Segoe UI"/>
            <family val="2"/>
          </rPr>
          <t>Die Konzentration und Dichte aus Feldern Q5 und Q7 wird berücksichtigt</t>
        </r>
      </text>
    </comment>
    <comment ref="AJ34" authorId="0">
      <text>
        <r>
          <rPr>
            <sz val="9"/>
            <color indexed="81"/>
            <rFont val="Segoe UI"/>
            <family val="2"/>
          </rPr>
          <t>Die Konzentration und Dichte aus Feldern T5 und T7 wird berücksichtigt</t>
        </r>
      </text>
    </comment>
    <comment ref="D39" authorId="0">
      <text>
        <r>
          <rPr>
            <sz val="9"/>
            <color indexed="81"/>
            <rFont val="Segoe UI"/>
            <family val="2"/>
          </rPr>
          <t xml:space="preserve">Senkt den pH der Maische und begünstigt dadurch enzymatische Vorgänge. Wichtiger Hefenährstoff und begünstigt die Klärung des Bieres. Werte wesentlich über 200 mg/L können einen mineralischen Beigeschmack haben, darunter gilt Calcium als geschmacksneutral.
</t>
        </r>
      </text>
    </comment>
    <comment ref="J39" authorId="0">
      <text>
        <r>
          <rPr>
            <sz val="9"/>
            <color indexed="81"/>
            <rFont val="Segoe UI"/>
            <family val="2"/>
          </rPr>
          <t>Die temporäre Härte, die als Kesselstein ausfallen kann. Stellt sich der Säure aus dem Malz entgegen und erhöht damit den pH der Maische.</t>
        </r>
      </text>
    </comment>
    <comment ref="D40" authorId="0">
      <text>
        <r>
          <rPr>
            <sz val="9"/>
            <color indexed="81"/>
            <rFont val="Segoe UI"/>
            <family val="2"/>
          </rPr>
          <t>Senkt den pH der Maische ebenfalls, aber nur halb so gut wie Calcium. Magnesium ist essentiell für die Hefe, aber da durch Malz per °Plato etwa 7mg/L eingebracht wird, sollte dieser Wert insbesondere bei hohen Stammwürzen klein gehalten werden. Die Folgen zu hoher Werte werden mit einer zunächst säuerlichen, dann zunehmend adstringierenden Wirkung beschrieben. In Stout und Porter kann der typische säuerlich-bissige Charakter der Röstmalze durch 30-40 mg/L Magnesium unterstützt werden.</t>
        </r>
      </text>
    </comment>
    <comment ref="J40" authorId="0">
      <text>
        <r>
          <rPr>
            <sz val="9"/>
            <color indexed="81"/>
            <rFont val="Segoe UI"/>
            <family val="2"/>
          </rPr>
          <t>Kann einen trockenen, hopfigen Trunk betonen. Vorsichtig bei hohen Magnesiumwerten, es entsteht Magnesiumsulfat (Bittersalz). Für einen spürbaren Effekt auf die Bitterwahrnehmung sind Werte von 200-250 mg/L anzustreben, der dabei entstehende Hopfencharakter wird vielfach als zupackender und nachhaltiger beschrieben. Dies kann für manche hopfenbetonten Biere vorteilhaft sein, aber etwa in hellen Lagerbieren süddeutscher oder böhmischer Brauart stören.</t>
        </r>
      </text>
    </comment>
    <comment ref="D41" authorId="0">
      <text>
        <r>
          <rPr>
            <sz val="9"/>
            <color indexed="81"/>
            <rFont val="Segoe UI"/>
            <family val="2"/>
          </rPr>
          <t>Kann bis 100 mg/l die Vollmundigkeit betonen. Vorsicht jedoch bei hohen Chloridwerten, zusammen mit den hohen Kaliumwerten aus Malz ergibt sich schnell ein salziger Beigeschmack. Der Wert sollte im Zweifelsfall klein gehalten werden.</t>
        </r>
      </text>
    </comment>
    <comment ref="J41" authorId="0">
      <text>
        <r>
          <rPr>
            <sz val="9"/>
            <color indexed="81"/>
            <rFont val="Segoe UI"/>
            <family val="2"/>
          </rPr>
          <t>Das Anion, das Kochsalz "salzig" schmecken lässt. Werte von 50-100mg/l können die Vollmundigkeit heben. Werte ab 300 mg/l können in Verbindung mit Natrium und Kalium für einen unangenehm salzigen Beigeschmack führen, der wiederum dem Empfinden der Vollmundigkeit abträglich ist.</t>
        </r>
      </text>
    </comment>
    <comment ref="J42" authorId="0">
      <text>
        <r>
          <rPr>
            <sz val="9"/>
            <color indexed="81"/>
            <rFont val="Segoe UI"/>
            <family val="2"/>
          </rPr>
          <t xml:space="preserve">Kann durch Mikroorganismen während der Gärung zu Nitrit reduziert werden, siehe dort. Überprüfung insbesondere bei Brunnenwasser sinnvoll. Bei Gärproblemen testweiser Verschnitt mit vollentsalztem Wasser anzuraten.
</t>
        </r>
      </text>
    </comment>
  </commentList>
</comments>
</file>

<file path=xl/comments3.xml><?xml version="1.0" encoding="utf-8"?>
<comments xmlns="http://schemas.openxmlformats.org/spreadsheetml/2006/main">
  <authors>
    <author>Teilnehmer-KW22-2023</author>
  </authors>
  <commentList>
    <comment ref="D37" authorId="0">
      <text>
        <r>
          <rPr>
            <sz val="9"/>
            <color indexed="81"/>
            <rFont val="Segoe UI"/>
            <family val="2"/>
          </rPr>
          <t xml:space="preserve">Senkt den pH der Maische und begünstigt dadurch enzymatische Vorgänge. Wichtiger Hefenährstoff und begünstigt die Klärung des Bieres. Werte wesentlich über 200 mg/L können einen mineralischen Beigeschmack haben, darunter gilt Calcium als geschmacksneutral.
</t>
        </r>
      </text>
    </comment>
    <comment ref="J37" authorId="0">
      <text>
        <r>
          <rPr>
            <sz val="9"/>
            <color indexed="81"/>
            <rFont val="Segoe UI"/>
            <family val="2"/>
          </rPr>
          <t>Die temporäre Härte, die als Kesselstein ausfallen kann. Stellt sich der Säure aus dem Malz entgegen und erhöht damit den pH der Maische.</t>
        </r>
      </text>
    </comment>
    <comment ref="D38" authorId="0">
      <text>
        <r>
          <rPr>
            <sz val="9"/>
            <color indexed="81"/>
            <rFont val="Segoe UI"/>
            <family val="2"/>
          </rPr>
          <t>Senkt den pH der Maische ebenfalls, aber nur halb so gut wie Calcium. Magnesium ist essentiell für die Hefe, aber da durch Malz per °Plato etwa 7mg/L eingebracht wird, sollte dieser Wert insbesondere bei hohen Stammwürzen klein gehalten werden. Die Folgen zu hoher Werte werden mit einer zunächst säuerlichen, dann zunehmend adstringierenden Wirkung beschrieben. In Stout und Porter kann der typische säuerlich-bissige Charakter der Röstmalze durch 30-40 mg/L Magnesium unterstützt werden.</t>
        </r>
      </text>
    </comment>
    <comment ref="J38" authorId="0">
      <text>
        <r>
          <rPr>
            <sz val="9"/>
            <color indexed="81"/>
            <rFont val="Segoe UI"/>
            <family val="2"/>
          </rPr>
          <t>Kann einen trockenen, hopfigen Trunk betonen. Vorsichtig bei hohen Magnesiumwerten, es entsteht Magnesiumsulfat (Bittersalz). Für einen spürbaren Effekt auf die Bitterwahrnehmung sind Werte von 200-250 mg/L anzustreben, der dabei entstehende Hopfencharakter wird vielfach als zupackender und nachhaltiger beschrieben. Dies kann für manche hopfenbetonten Biere vorteilhaft sein, aber etwa in hellen Lagerbieren süddeutscher oder böhmischer Brauart stören.</t>
        </r>
      </text>
    </comment>
    <comment ref="D39" authorId="0">
      <text>
        <r>
          <rPr>
            <sz val="9"/>
            <color indexed="81"/>
            <rFont val="Segoe UI"/>
            <family val="2"/>
          </rPr>
          <t>Kann bis 100 mg/l die Vollmundigkeit betonen. Vorsicht jedoch bei hohen Chloridwerten, zusammen mit den hohen Kaliumwerten aus Malz ergibt sich schnell ein salziger Beigeschmack. Der Wert sollte im Zweifelsfall klein gehalten werden.</t>
        </r>
      </text>
    </comment>
    <comment ref="J39" authorId="0">
      <text>
        <r>
          <rPr>
            <sz val="9"/>
            <color indexed="81"/>
            <rFont val="Segoe UI"/>
            <family val="2"/>
          </rPr>
          <t>Das Anion, das Kochsalz "salzig" schmecken lässt. Werte von 50-100mg/l können die Vollmundigkeit heben. Werte ab 300 mg/l können in Verbindung mit Natrium und Kalium für einen unangenehm salzigen Beigeschmack führen, der wiederum dem Empfinden der Vollmundigkeit abträglich ist.</t>
        </r>
      </text>
    </comment>
    <comment ref="J40" authorId="0">
      <text>
        <r>
          <rPr>
            <sz val="9"/>
            <color indexed="81"/>
            <rFont val="Segoe UI"/>
            <family val="2"/>
          </rPr>
          <t xml:space="preserve">Kann durch Mikroorganismen während der Gärung zu Nitrit reduziert werden, siehe dort. Überprüfung insbesondere bei Brunnenwasser sinnvoll. Bei Gärproblemen testweiser Verschnitt mit vollentsalztem Wasser anzuraten.
</t>
        </r>
      </text>
    </comment>
  </commentList>
</comments>
</file>

<file path=xl/sharedStrings.xml><?xml version="1.0" encoding="utf-8"?>
<sst xmlns="http://schemas.openxmlformats.org/spreadsheetml/2006/main" count="1319" uniqueCount="441">
  <si>
    <t>Anionen</t>
  </si>
  <si>
    <t>Kationen</t>
  </si>
  <si>
    <t>HCO3-</t>
  </si>
  <si>
    <t>Sulfat</t>
  </si>
  <si>
    <t>Chlorid</t>
  </si>
  <si>
    <t>Kalzium</t>
  </si>
  <si>
    <t>Magnesium</t>
  </si>
  <si>
    <t>Natrium</t>
  </si>
  <si>
    <t>[mg/l]</t>
  </si>
  <si>
    <t>mmol/l</t>
  </si>
  <si>
    <t>Hydrocarbonat</t>
  </si>
  <si>
    <t>SO4-</t>
  </si>
  <si>
    <t>Cl-</t>
  </si>
  <si>
    <t>Ca2+</t>
  </si>
  <si>
    <t>MG2+</t>
  </si>
  <si>
    <t>Na+</t>
  </si>
  <si>
    <t>Gesamthärte</t>
  </si>
  <si>
    <t>Karbonathärte</t>
  </si>
  <si>
    <t>Nichtkarbonathärte</t>
  </si>
  <si>
    <t>[°dH]</t>
  </si>
  <si>
    <t>Restalkalität</t>
  </si>
  <si>
    <t>Faustformel</t>
  </si>
  <si>
    <t>genau</t>
  </si>
  <si>
    <t>https://braumagazin.de/article/von-der-wasseranalyse-zum-brauwasser/</t>
  </si>
  <si>
    <t>Verhältnis KH/NKH</t>
  </si>
  <si>
    <t>[-]</t>
  </si>
  <si>
    <t>günstig ist Bereich 1:2 bis 1:2,5</t>
  </si>
  <si>
    <t>Grenzwerte / empohlener Bereich zum Brauen</t>
  </si>
  <si>
    <t>min</t>
  </si>
  <si>
    <t>max</t>
  </si>
  <si>
    <t>Nitrat</t>
  </si>
  <si>
    <t>Nitrit</t>
  </si>
  <si>
    <t>NO3-</t>
  </si>
  <si>
    <t>NO2-</t>
  </si>
  <si>
    <t>Grenzwert</t>
  </si>
  <si>
    <t>Bitterkeit</t>
  </si>
  <si>
    <t>Restalkalität °dH</t>
  </si>
  <si>
    <t>Calcium mg/l</t>
  </si>
  <si>
    <t>Magnesium mg/l</t>
  </si>
  <si>
    <t>Aufbereitung</t>
  </si>
  <si>
    <t>Sulfat mg/l</t>
  </si>
  <si>
    <t>Chlorid mg/l</t>
  </si>
  <si>
    <t>ausgewogen</t>
  </si>
  <si>
    <t>-3-0 °dH</t>
  </si>
  <si>
    <t>0-20</t>
  </si>
  <si>
    <t>0-50</t>
  </si>
  <si>
    <t>50-100</t>
  </si>
  <si>
    <t>Böhmisches Pilsener</t>
  </si>
  <si>
    <t>herb</t>
  </si>
  <si>
    <t>-2-0°dH</t>
  </si>
  <si>
    <t>0-30</t>
  </si>
  <si>
    <t>Premium Lager</t>
  </si>
  <si>
    <t>-5-0 °dH</t>
  </si>
  <si>
    <t>50-75</t>
  </si>
  <si>
    <t>50-150</t>
  </si>
  <si>
    <t>Dortmunder Export</t>
  </si>
  <si>
    <t>0-2 °dH</t>
  </si>
  <si>
    <t>75-100</t>
  </si>
  <si>
    <t>100-200</t>
  </si>
  <si>
    <t>0-5°dH</t>
  </si>
  <si>
    <t>0-25</t>
  </si>
  <si>
    <t>0-100</t>
  </si>
  <si>
    <t>3-6 °dH</t>
  </si>
  <si>
    <t>ausgewogen bis herb</t>
  </si>
  <si>
    <t>5-10 °dH</t>
  </si>
  <si>
    <t>ggf. Maischesäuerung</t>
  </si>
  <si>
    <t>Dunkles Bockbier</t>
  </si>
  <si>
    <t>10 °dH</t>
  </si>
  <si>
    <t>mild bis ausgewogen</t>
  </si>
  <si>
    <t>0-5 °dH</t>
  </si>
  <si>
    <t>Entkarbonisierung</t>
  </si>
  <si>
    <t>2-7 °dH</t>
  </si>
  <si>
    <t>15-35</t>
  </si>
  <si>
    <t>mild</t>
  </si>
  <si>
    <t>100-400</t>
  </si>
  <si>
    <t>100-300</t>
  </si>
  <si>
    <t>0 °dH</t>
  </si>
  <si>
    <t>Russian Imperial Stout</t>
  </si>
  <si>
    <t>8-15 °dH</t>
  </si>
  <si>
    <t>American Lager</t>
  </si>
  <si>
    <t>Münchner Helles</t>
  </si>
  <si>
    <t>Helles Lagerbier</t>
  </si>
  <si>
    <t>Deutsches Pils</t>
  </si>
  <si>
    <t xml:space="preserve"> Festbier</t>
  </si>
  <si>
    <t>Märzen</t>
  </si>
  <si>
    <t>Münchner Dunkel</t>
  </si>
  <si>
    <t>Schwarzbier</t>
  </si>
  <si>
    <t>Fränkisch Dunkel</t>
  </si>
  <si>
    <t>Dunkles Lagerbier</t>
  </si>
  <si>
    <t xml:space="preserve"> Doppelbock</t>
  </si>
  <si>
    <t>Maibock</t>
  </si>
  <si>
    <t>Helles Bockbier</t>
  </si>
  <si>
    <t>Ordinary Bitter</t>
  </si>
  <si>
    <t>Helles Ale</t>
  </si>
  <si>
    <t>Scotch Ale</t>
  </si>
  <si>
    <t>Best Bitter</t>
  </si>
  <si>
    <t>Mild Ale</t>
  </si>
  <si>
    <t>Irish Dry Stout</t>
  </si>
  <si>
    <t>Porter</t>
  </si>
  <si>
    <t>Weizenbier</t>
  </si>
  <si>
    <t>Weizenbock</t>
  </si>
  <si>
    <t>Kölsch</t>
  </si>
  <si>
    <t xml:space="preserve">Wit </t>
  </si>
  <si>
    <t>Cream Ale</t>
  </si>
  <si>
    <t>American IPA</t>
  </si>
  <si>
    <t>American Pale Ale</t>
  </si>
  <si>
    <t>English IPA</t>
  </si>
  <si>
    <t>Extra Special Bitter (ESB)</t>
  </si>
  <si>
    <t>Altbier</t>
  </si>
  <si>
    <t xml:space="preserve"> Sweet Stout</t>
  </si>
  <si>
    <t>Oatmeal Stout</t>
  </si>
  <si>
    <t>Extra Stout</t>
  </si>
  <si>
    <t>Tripel</t>
  </si>
  <si>
    <t>Belgische Ales</t>
  </si>
  <si>
    <t>Blonde</t>
  </si>
  <si>
    <t>Barleywine</t>
  </si>
  <si>
    <t xml:space="preserve">Brown Ale </t>
  </si>
  <si>
    <t>Strong Scotch Ale</t>
  </si>
  <si>
    <t>[mmol/l]</t>
  </si>
  <si>
    <t>[mmol]</t>
  </si>
  <si>
    <t>[mg]</t>
  </si>
  <si>
    <t>[mmol/l HCO3-]</t>
  </si>
  <si>
    <t>[mmol HCO3-]</t>
  </si>
  <si>
    <t>Milchsäure 80%</t>
  </si>
  <si>
    <t>[ml]</t>
  </si>
  <si>
    <t>Dichte</t>
  </si>
  <si>
    <t>Milchsäure</t>
  </si>
  <si>
    <t>[Gew-%]</t>
  </si>
  <si>
    <t>g/mol</t>
  </si>
  <si>
    <t>g/ml</t>
  </si>
  <si>
    <t>g</t>
  </si>
  <si>
    <t>mmol</t>
  </si>
  <si>
    <t>Schwefelsäure</t>
  </si>
  <si>
    <t>Säure</t>
  </si>
  <si>
    <t>Gabe für -1 °dH Restalkalität pro hl Brauwasser</t>
  </si>
  <si>
    <t>Zusätzliche Salze pro -1 °dH</t>
  </si>
  <si>
    <t>3,32 ml (4,0 g)</t>
  </si>
  <si>
    <t>+ 32 mg/l Lactat</t>
  </si>
  <si>
    <t>Salzsäure 10%</t>
  </si>
  <si>
    <t>12,4 ml (13,0 g)</t>
  </si>
  <si>
    <t>+13 mg/l Chlorid</t>
  </si>
  <si>
    <t>Schwefelsäure 10%</t>
  </si>
  <si>
    <t>16,4 ml (17,5 g)</t>
  </si>
  <si>
    <t>+17 mg/l Sulfat</t>
  </si>
  <si>
    <t>Salzsäure</t>
  </si>
  <si>
    <t>Sauermalz</t>
  </si>
  <si>
    <t>[g]</t>
  </si>
  <si>
    <t>0 °C</t>
  </si>
  <si>
    <t>10 °C</t>
  </si>
  <si>
    <t>15 °C</t>
  </si>
  <si>
    <t>20 °C</t>
  </si>
  <si>
    <t>25 °C</t>
  </si>
  <si>
    <t>30 °C</t>
  </si>
  <si>
    <t>40 °C</t>
  </si>
  <si>
    <t>50 °C</t>
  </si>
  <si>
    <t>60 °C</t>
  </si>
  <si>
    <t>80 °C</t>
  </si>
  <si>
    <t>100 °C</t>
  </si>
  <si>
    <r>
      <t>% H</t>
    </r>
    <r>
      <rPr>
        <b/>
        <vertAlign val="subscript"/>
        <sz val="11"/>
        <color theme="1"/>
        <rFont val="Calibri"/>
        <family val="2"/>
        <scheme val="minor"/>
      </rPr>
      <t>2</t>
    </r>
    <r>
      <rPr>
        <b/>
        <sz val="11"/>
        <color theme="1"/>
        <rFont val="Calibri"/>
        <family val="2"/>
        <scheme val="minor"/>
      </rPr>
      <t>SO</t>
    </r>
    <r>
      <rPr>
        <b/>
        <vertAlign val="subscript"/>
        <sz val="11"/>
        <color theme="1"/>
        <rFont val="Calibri"/>
        <family val="2"/>
        <scheme val="minor"/>
      </rPr>
      <t>4</t>
    </r>
  </si>
  <si>
    <t>% HCl</t>
  </si>
  <si>
    <t>-5 °C</t>
  </si>
  <si>
    <t>[l] dest. Wasser im Brauwasser</t>
  </si>
  <si>
    <r>
      <t>Mehr Chlorid</t>
    </r>
    <r>
      <rPr>
        <sz val="11"/>
        <color theme="1"/>
        <rFont val="Calibri"/>
        <family val="2"/>
        <scheme val="minor"/>
      </rPr>
      <t>: Verbessert und unterstützt das Malzaroma, es verstärkt den Körper des Bieres</t>
    </r>
  </si>
  <si>
    <r>
      <t>Mehr Sulfat:</t>
    </r>
    <r>
      <rPr>
        <sz val="11"/>
        <color theme="1"/>
        <rFont val="Calibri"/>
        <family val="2"/>
        <scheme val="minor"/>
      </rPr>
      <t xml:space="preserve"> Verstärkt und unterstützt die Bittere und erzeugt schlankere Biere</t>
    </r>
  </si>
  <si>
    <t>Monitor</t>
  </si>
  <si>
    <t>Sulfat-Chlorid-Verhältnis</t>
  </si>
  <si>
    <t>Verhältnis Sulfat zu Chlorid</t>
  </si>
  <si>
    <t>malzigen Charakter</t>
  </si>
  <si>
    <t>hopfigen Charakter</t>
  </si>
  <si>
    <t>unterstützt</t>
  </si>
  <si>
    <t>Verhältnis Karbonathärte zu Nichtkarbonathärte</t>
  </si>
  <si>
    <t>Restalkalität [°dH]</t>
  </si>
  <si>
    <t>stützt den "sour tang"</t>
  </si>
  <si>
    <t xml:space="preserve">Wenig Magnesiumsulfat </t>
  </si>
  <si>
    <t>wenn Gabe von Calciumsulfat</t>
  </si>
  <si>
    <t xml:space="preserve">Ggf. Entkarbonisierung, </t>
  </si>
  <si>
    <t>nicht ausreichend</t>
  </si>
  <si>
    <t>hohen Nitratwerten</t>
  </si>
  <si>
    <t>(Eintrag durch Hopfen!),</t>
  </si>
  <si>
    <t>sonst Entkarbonsierung,</t>
  </si>
  <si>
    <t xml:space="preserve">Aufsalzen mit Calciumsulfat, </t>
  </si>
  <si>
    <t>optionale Maischesäuerung</t>
  </si>
  <si>
    <t>ggf. Vollentsalzung bei</t>
  </si>
  <si>
    <t>im Interesse von Estern</t>
  </si>
  <si>
    <t xml:space="preserve">ggf. Entkarbonisierung,  </t>
  </si>
  <si>
    <t>keine Maischesäuerung</t>
  </si>
  <si>
    <t xml:space="preserve">Sulfat und Chlorid </t>
  </si>
  <si>
    <t>in Balance halten,</t>
  </si>
  <si>
    <t>wenig Magnesiumsulfat</t>
  </si>
  <si>
    <t>ggf. Entkarbonisierung</t>
  </si>
  <si>
    <t xml:space="preserve">Aufsalzen mit </t>
  </si>
  <si>
    <t>Calciumchlorid</t>
  </si>
  <si>
    <t>Entkarbonisierung,</t>
  </si>
  <si>
    <t xml:space="preserve"> opt. Maischesäuerung</t>
  </si>
  <si>
    <t xml:space="preserve">Entkarbonisierung, </t>
  </si>
  <si>
    <t>ggf. Aufsalzen</t>
  </si>
  <si>
    <t xml:space="preserve">ggf. Aufsalzen, </t>
  </si>
  <si>
    <t>Maischesäuerung</t>
  </si>
  <si>
    <t xml:space="preserve">Vollentsalzung, </t>
  </si>
  <si>
    <t xml:space="preserve">Maischesäuerung </t>
  </si>
  <si>
    <t>auf pH 5,4</t>
  </si>
  <si>
    <t xml:space="preserve">opt. Maischesäuerung </t>
  </si>
  <si>
    <t>Calciumsulfat-Dihydrat</t>
  </si>
  <si>
    <t>Gesamthärte berechnet aus Ca2+ und MG2+:</t>
  </si>
  <si>
    <t>Calciumchlorid-Dihydrat</t>
  </si>
  <si>
    <t>[g] CaSO4 x 2 H2O</t>
  </si>
  <si>
    <t>[g] CaCl2 x 2 H2O</t>
  </si>
  <si>
    <t>Magnesiumchlorid-Hexahydrat</t>
  </si>
  <si>
    <t>Magnesiumsulfat-Heptahydrat</t>
  </si>
  <si>
    <t>Natriumchlorid</t>
  </si>
  <si>
    <t>[g] NaCl</t>
  </si>
  <si>
    <t>[g] MgCl2 x 6 H2O</t>
  </si>
  <si>
    <t>[g] MgS04 x 7 H2O</t>
  </si>
  <si>
    <t>Natriumhydrogencarbonat</t>
  </si>
  <si>
    <t>[g] NaHCO3</t>
  </si>
  <si>
    <t>Ionen-Grenzwerte</t>
  </si>
  <si>
    <t>Salze</t>
  </si>
  <si>
    <t>destilliert / ent-ionisiert / Osmose</t>
  </si>
  <si>
    <t>Säuren</t>
  </si>
  <si>
    <t>senkt Maische-PH</t>
  </si>
  <si>
    <t>erhöht Maische-PH stark</t>
  </si>
  <si>
    <t>PH-neutral</t>
  </si>
  <si>
    <t>senkt Maische-PH schwach</t>
  </si>
  <si>
    <t>Brauwassermenge (Haupt- plus Nachguß):</t>
  </si>
  <si>
    <t>H2SO4</t>
  </si>
  <si>
    <t>HCl</t>
  </si>
  <si>
    <t>CaSO4</t>
  </si>
  <si>
    <t>CaCl2</t>
  </si>
  <si>
    <t>MgCl2</t>
  </si>
  <si>
    <t>MgSO4</t>
  </si>
  <si>
    <t>NaCl</t>
  </si>
  <si>
    <t>NaHCO3</t>
  </si>
  <si>
    <t>mg/l</t>
  </si>
  <si>
    <t>°dH</t>
  </si>
  <si>
    <t>Wieviel brauche ich jetzt noch?</t>
  </si>
  <si>
    <t>Zielmengenrechner</t>
  </si>
  <si>
    <t>Legende und Kommentare</t>
  </si>
  <si>
    <t>Infos und Hilfsdaten</t>
  </si>
  <si>
    <r>
      <t xml:space="preserve">blaßgelb hinterlegte Felder sind </t>
    </r>
    <r>
      <rPr>
        <b/>
        <sz val="11"/>
        <rFont val="Calibri"/>
        <family val="2"/>
        <scheme val="minor"/>
      </rPr>
      <t>Eingabefelder</t>
    </r>
    <r>
      <rPr>
        <sz val="11"/>
        <rFont val="Calibri"/>
        <family val="2"/>
        <scheme val="minor"/>
      </rPr>
      <t>. Nur in solchen Feldern sollten Eingaben gemacht werden, alles andere übernimmt Excel</t>
    </r>
  </si>
  <si>
    <r>
      <t xml:space="preserve">hellgrün hinterlegte Felder zeigen an, dass sich der jeweilig dargestellte </t>
    </r>
    <r>
      <rPr>
        <b/>
        <sz val="11"/>
        <rFont val="Calibri"/>
        <family val="2"/>
        <scheme val="minor"/>
      </rPr>
      <t>Wert erhöht</t>
    </r>
    <r>
      <rPr>
        <sz val="11"/>
        <rFont val="Calibri"/>
        <family val="2"/>
        <scheme val="minor"/>
      </rPr>
      <t xml:space="preserve"> hat</t>
    </r>
  </si>
  <si>
    <t>Quelle: https://braumagazin.de/article/von-der-wasseranalyse-zum-brauwasser/ Kapitel 2.2</t>
  </si>
  <si>
    <t>Quelle Grenzwerte: https://braumagazin.de/article/von-der-wasseranalyse-zum-brauwasser/ Kapitel 2.1</t>
  </si>
  <si>
    <r>
      <t xml:space="preserve">Ionenkonzentration ist </t>
    </r>
    <r>
      <rPr>
        <b/>
        <sz val="11"/>
        <rFont val="Calibri"/>
        <family val="2"/>
        <scheme val="minor"/>
      </rPr>
      <t>innerhalb</t>
    </r>
    <r>
      <rPr>
        <sz val="11"/>
        <rFont val="Calibri"/>
        <family val="2"/>
        <scheme val="minor"/>
      </rPr>
      <t xml:space="preserve"> der empfohlenen Grenzen</t>
    </r>
  </si>
  <si>
    <r>
      <t xml:space="preserve">Ionenkonzentration ist </t>
    </r>
    <r>
      <rPr>
        <b/>
        <sz val="11"/>
        <rFont val="Calibri"/>
        <family val="2"/>
        <scheme val="minor"/>
      </rPr>
      <t>außerhalb</t>
    </r>
    <r>
      <rPr>
        <sz val="11"/>
        <rFont val="Calibri"/>
        <family val="2"/>
        <scheme val="minor"/>
      </rPr>
      <t xml:space="preserve"> der empfohlenen Grenzen</t>
    </r>
  </si>
  <si>
    <t>https://maischemalzundmehr.de/index.php?inhaltmitte=toolswasserrechner</t>
  </si>
  <si>
    <t>(Quelle: ChatGPT)</t>
  </si>
  <si>
    <r>
      <t xml:space="preserve">Ionenkonzentration ist </t>
    </r>
    <r>
      <rPr>
        <b/>
        <sz val="11"/>
        <rFont val="Calibri"/>
        <family val="2"/>
        <scheme val="minor"/>
      </rPr>
      <t>am Rand aber noch innerhalb</t>
    </r>
    <r>
      <rPr>
        <sz val="11"/>
        <rFont val="Calibri"/>
        <family val="2"/>
        <scheme val="minor"/>
      </rPr>
      <t xml:space="preserve"> der empfohlenen Grenzen</t>
    </r>
  </si>
  <si>
    <t>30-50</t>
  </si>
  <si>
    <t>-3-0 dH</t>
  </si>
  <si>
    <t>Die Ionenkonzentration bzw. die Restalkalität ist mit diesem Stoff nicht zu beeinflussen</t>
  </si>
  <si>
    <r>
      <t>Die dargestellten Werte sind die</t>
    </r>
    <r>
      <rPr>
        <b/>
        <sz val="11"/>
        <color theme="1"/>
        <rFont val="Calibri"/>
        <family val="2"/>
        <scheme val="minor"/>
      </rPr>
      <t xml:space="preserve"> individuellen </t>
    </r>
    <r>
      <rPr>
        <sz val="11"/>
        <color theme="1"/>
        <rFont val="Calibri"/>
        <family val="2"/>
        <scheme val="minor"/>
      </rPr>
      <t>Mengen, die notwendig sind, um das gewünschte Ziel (Ionenkonzentration oder Restalkalität) zu erreichen.</t>
    </r>
  </si>
  <si>
    <t>X</t>
  </si>
  <si>
    <t>Bierstile</t>
  </si>
  <si>
    <t>(Aufbereitetes) Wasser für das Brauen</t>
  </si>
  <si>
    <t>Zusammensetzung Leitungswasser laut Wasserversorger</t>
  </si>
  <si>
    <t>Werte 1:1 auch im Monitor</t>
  </si>
  <si>
    <t>Liter</t>
  </si>
  <si>
    <r>
      <t xml:space="preserve">Das Brauwasser </t>
    </r>
    <r>
      <rPr>
        <b/>
        <sz val="11"/>
        <color theme="1"/>
        <rFont val="Calibri"/>
        <family val="2"/>
        <scheme val="minor"/>
      </rPr>
      <t>übersteigt</t>
    </r>
    <r>
      <rPr>
        <sz val="11"/>
        <color theme="1"/>
        <rFont val="Calibri"/>
        <family val="2"/>
        <scheme val="minor"/>
      </rPr>
      <t xml:space="preserve"> den gewünschten Wert</t>
    </r>
    <r>
      <rPr>
        <b/>
        <sz val="11"/>
        <color theme="1"/>
        <rFont val="Calibri"/>
        <family val="2"/>
        <scheme val="minor"/>
      </rPr>
      <t xml:space="preserve"> </t>
    </r>
    <r>
      <rPr>
        <sz val="11"/>
        <color theme="1"/>
        <rFont val="Calibri"/>
        <family val="2"/>
        <scheme val="minor"/>
      </rPr>
      <t>bereits, weitere Zugabe nicht sinnvoll</t>
    </r>
  </si>
  <si>
    <t>Verhältnis Sulfat zu Clorid</t>
  </si>
  <si>
    <t>Stoffmengen absolut</t>
  </si>
  <si>
    <t>Zuschlagstoffe</t>
  </si>
  <si>
    <t>minus Verschnitt ergibt Menge Leitungswasser:</t>
  </si>
  <si>
    <t>Für die Berechnung der Kenngrößen KH/NKH, Sulfat/Chlorid, Restalkalität notwendig:</t>
  </si>
  <si>
    <t>Für die Berechnung nicht notwendig, aber es sind für das Bier brauen empfohlene Grenzwerte vorhanden:</t>
  </si>
  <si>
    <t>Die berechnete Karbonathärte (1,6 mmol * 2,8) ergibt</t>
  </si>
  <si>
    <t>mit 4,5 °dH etwas höheren Wert als die 4,3°dH aus der</t>
  </si>
  <si>
    <t>Wasseranalyse. Warum auch immer…</t>
  </si>
  <si>
    <t>Auszug aus der online verfügbaren Wasseranalyse</t>
  </si>
  <si>
    <t>KH / NKH out-of-the-box etwas hoch</t>
  </si>
  <si>
    <t>Ionenkonzentrationen bis auf Kalzium im grünen Bereich</t>
  </si>
  <si>
    <t>Kalzium sollte zwischen 50...150 mg/l liegen, sollte also etwas gesteigert werden</t>
  </si>
  <si>
    <t>American IPA brauen:</t>
  </si>
  <si>
    <t>Der Monitor sieht jetzt so aus:</t>
  </si>
  <si>
    <t>Für mein American-IPA ist jetzt auch alles grün:</t>
  </si>
  <si>
    <t>die anderen Werte zu kompromittieren</t>
  </si>
  <si>
    <r>
      <t xml:space="preserve">--&gt; ich gebe als Kompromiß </t>
    </r>
    <r>
      <rPr>
        <b/>
        <sz val="11"/>
        <color theme="1"/>
        <rFont val="Calibri"/>
        <family val="2"/>
        <scheme val="minor"/>
      </rPr>
      <t>12 g CaSO4 i</t>
    </r>
    <r>
      <rPr>
        <sz val="11"/>
        <color theme="1"/>
        <rFont val="Calibri"/>
        <family val="2"/>
        <scheme val="minor"/>
      </rPr>
      <t>m Bereich Zuschlagstoffe ein:</t>
    </r>
  </si>
  <si>
    <t>Das Rezept fordert 28 Liter Wasser (Summe aus Haupt- und Nachguß)</t>
  </si>
  <si>
    <t>Stadtwerke Kulmbach</t>
  </si>
  <si>
    <t>Ich möchte nun ein</t>
  </si>
  <si>
    <t>Nebenbei füttere ich mein damit schmales Kalzium-Kontingent auf</t>
  </si>
  <si>
    <t>Für den gewählten Bierstil ist alles im Soll-Bereich,</t>
  </si>
  <si>
    <t>überschritten werden - aber der Bierstil toleriert ja wohl</t>
  </si>
  <si>
    <t>bis 400 mg/l SO4.</t>
  </si>
  <si>
    <r>
      <t xml:space="preserve">Sulfat ist </t>
    </r>
    <r>
      <rPr>
        <sz val="11"/>
        <color rgb="FFFF0000"/>
        <rFont val="Calibri"/>
        <family val="2"/>
        <scheme val="minor"/>
      </rPr>
      <t>rot</t>
    </r>
    <r>
      <rPr>
        <sz val="11"/>
        <color theme="1"/>
        <rFont val="Calibri"/>
        <family val="2"/>
        <scheme val="minor"/>
      </rPr>
      <t>, weil die Grenzwerte laut Braumagazin</t>
    </r>
  </si>
  <si>
    <t>Wer möchte kann mit etwas NaCl das</t>
  </si>
  <si>
    <t xml:space="preserve">Sulfat-Chlorid-Verhältnis nach unten bringen, ohne </t>
  </si>
  <si>
    <t>[l]</t>
  </si>
  <si>
    <t>Entionisiertes</t>
  </si>
  <si>
    <t>Wasser</t>
  </si>
  <si>
    <t>%</t>
  </si>
  <si>
    <t>gewünschter Soll-Wert</t>
  </si>
  <si>
    <t>Dichte von Phosphorsäure</t>
  </si>
  <si>
    <t>Dichte  bei 20°C (g/cm³)</t>
  </si>
  <si>
    <r>
      <t>Gew. % H</t>
    </r>
    <r>
      <rPr>
        <sz val="9"/>
        <color theme="1"/>
        <rFont val="Arial"/>
        <family val="2"/>
      </rPr>
      <t>3</t>
    </r>
    <r>
      <rPr>
        <sz val="11"/>
        <color theme="1"/>
        <rFont val="Arial"/>
        <family val="2"/>
      </rPr>
      <t>PO</t>
    </r>
    <r>
      <rPr>
        <sz val="9"/>
        <color theme="1"/>
        <rFont val="Arial"/>
        <family val="2"/>
      </rPr>
      <t>4</t>
    </r>
  </si>
  <si>
    <t>Phosphorsäure</t>
  </si>
  <si>
    <t>H3PO4</t>
  </si>
  <si>
    <t>Dichtetabelle Salzsäure</t>
  </si>
  <si>
    <t>Dichtetabelle Schwefelsäure</t>
  </si>
  <si>
    <t>Phosphor-</t>
  </si>
  <si>
    <t>säure</t>
  </si>
  <si>
    <t>Schwefel-</t>
  </si>
  <si>
    <t>Salz-</t>
  </si>
  <si>
    <t>Milch-</t>
  </si>
  <si>
    <r>
      <t xml:space="preserve">Mit </t>
    </r>
    <r>
      <rPr>
        <b/>
        <sz val="11"/>
        <color theme="1"/>
        <rFont val="Calibri"/>
        <family val="2"/>
        <scheme val="minor"/>
      </rPr>
      <t>11,4 g CaSO4</t>
    </r>
    <r>
      <rPr>
        <sz val="11"/>
        <color theme="1"/>
        <rFont val="Calibri"/>
        <family val="2"/>
        <scheme val="minor"/>
      </rPr>
      <t xml:space="preserve"> komme ich mit den Sulfationen auf den Zielwert und </t>
    </r>
  </si>
  <si>
    <t>Versionshistorie:</t>
  </si>
  <si>
    <t>v1.0 (16.09.2023)</t>
  </si>
  <si>
    <t>Erstveröffentlichung</t>
  </si>
  <si>
    <t>v1.1 (18.09.2023)</t>
  </si>
  <si>
    <t>Zielwertrechner konsolidiert (kein hin und herscrollen mehr)</t>
  </si>
  <si>
    <t>Monitor Farben harmonisiert</t>
  </si>
  <si>
    <t>Dropdown Auswahl für HCO3-</t>
  </si>
  <si>
    <t>oft angegeben als Säurekapazität@pH4,3</t>
  </si>
  <si>
    <t>v1.2 (19.09.2023)</t>
  </si>
  <si>
    <t>neu: Einheitenauswahl bei HCO3- Eingabe Wasserversorger</t>
  </si>
  <si>
    <t>neu: Phosphorsäure als Zuschlagstoff</t>
  </si>
  <si>
    <t>Monitor: Tachoskalen eingefügt</t>
  </si>
  <si>
    <t>Wert</t>
  </si>
  <si>
    <t>Segmente</t>
  </si>
  <si>
    <t>Zeiger</t>
  </si>
  <si>
    <t>Sulfat zu Chlorid</t>
  </si>
  <si>
    <t>in Prozent</t>
  </si>
  <si>
    <t>KH zu NKH</t>
  </si>
  <si>
    <t>Zielwert abhängig</t>
  </si>
  <si>
    <t>vom Bierstil</t>
  </si>
  <si>
    <t>Wasser [l]</t>
  </si>
  <si>
    <t>einige optische Anpassungen</t>
  </si>
  <si>
    <t>verlorengegangene bedingte Formatierungen wiederhergestellt</t>
  </si>
  <si>
    <t>Hilfsdaten für Tachoanzeige Sulfad zu Chlorid im Monitor</t>
  </si>
  <si>
    <t>Hilfsdaten für Tachoanzeige KH zu NKH im Monitor</t>
  </si>
  <si>
    <t>Infos und Hilfsdaten auf separates Tabellenblatt</t>
  </si>
  <si>
    <t>Aktuelle Stoffzugabe:</t>
  </si>
  <si>
    <t>Aktuelle Stoffzugabe</t>
  </si>
  <si>
    <t>Benötigte Menge Brauwasser</t>
  </si>
  <si>
    <t>ergibt Menge Leitungswasser</t>
  </si>
  <si>
    <r>
      <t xml:space="preserve">gewünschte Werte werden erreicht durch </t>
    </r>
    <r>
      <rPr>
        <b/>
        <u/>
        <sz val="12"/>
        <color theme="1"/>
        <rFont val="Calibri"/>
        <family val="2"/>
        <scheme val="minor"/>
      </rPr>
      <t>zusätzliche</t>
    </r>
    <r>
      <rPr>
        <b/>
        <sz val="12"/>
        <color theme="1"/>
        <rFont val="Calibri"/>
        <family val="2"/>
        <scheme val="minor"/>
      </rPr>
      <t xml:space="preserve"> Gabe von</t>
    </r>
  </si>
  <si>
    <t>je nach Vorliebe / Bierstil</t>
  </si>
  <si>
    <t>Zielmengenrechner auf eigenes Tabellenblatt und überarbeitet</t>
  </si>
  <si>
    <r>
      <rPr>
        <b/>
        <sz val="11"/>
        <color theme="1"/>
        <rFont val="Calibri"/>
        <family val="2"/>
        <scheme val="minor"/>
      </rPr>
      <t>Kreuzabhängigkeiten</t>
    </r>
    <r>
      <rPr>
        <sz val="11"/>
        <color theme="1"/>
        <rFont val="Calibri"/>
        <family val="2"/>
        <scheme val="minor"/>
      </rPr>
      <t xml:space="preserve"> sind zu beachten. So kann Zugabe von Salzsäure die gewünschte Restalkalität</t>
    </r>
  </si>
  <si>
    <t>einstellen, lässt jedoch ggf. die Chlorid-Konzentration zu hoch werden.</t>
  </si>
  <si>
    <r>
      <rPr>
        <b/>
        <sz val="11"/>
        <rFont val="Calibri"/>
        <family val="2"/>
        <scheme val="minor"/>
      </rPr>
      <t xml:space="preserve">die aktuelle Ionenkonzentration bzw. Restalkalität  passt </t>
    </r>
    <r>
      <rPr>
        <sz val="11"/>
        <rFont val="Calibri"/>
        <family val="2"/>
        <scheme val="minor"/>
      </rPr>
      <t>für den jeweiligen Bierstil</t>
    </r>
  </si>
  <si>
    <r>
      <t xml:space="preserve">die aktuelle Ionenkonzentration bzw. Restalkalität  </t>
    </r>
    <r>
      <rPr>
        <b/>
        <sz val="11"/>
        <rFont val="Calibri"/>
        <family val="2"/>
        <scheme val="minor"/>
      </rPr>
      <t>sollte erhöht werden</t>
    </r>
    <r>
      <rPr>
        <sz val="11"/>
        <rFont val="Calibri"/>
        <family val="2"/>
        <scheme val="minor"/>
      </rPr>
      <t>, damit sie zu dem jeweiligen Bierstil passt</t>
    </r>
  </si>
  <si>
    <t>die aktuelle Ionenkonzentration bzw. Restalkalität  sollte reduziert werden, damit sie zu dem jeweiligen Bierstil passt</t>
  </si>
  <si>
    <t>Doppelbock</t>
  </si>
  <si>
    <t>Festbier</t>
  </si>
  <si>
    <t>Sweet Stout</t>
  </si>
  <si>
    <t>bitte auswählen</t>
  </si>
  <si>
    <t>Bierstilauswahl</t>
  </si>
  <si>
    <t>bitte auswählen (opt)</t>
  </si>
  <si>
    <t>Verschnitt mit Wasser</t>
  </si>
  <si>
    <t>Mineralwasser Supermarkt</t>
  </si>
  <si>
    <t>Marke</t>
  </si>
  <si>
    <t xml:space="preserve"> Anteil dest. Wasser</t>
  </si>
  <si>
    <t>Mineralwasser</t>
  </si>
  <si>
    <t>Supermarkt</t>
  </si>
  <si>
    <t>Supermarkt [l]</t>
  </si>
  <si>
    <t>Sulfat [mg/l]</t>
  </si>
  <si>
    <t>Hydrogencarbonat [mg/l]</t>
  </si>
  <si>
    <t>Chlorid [mg/l]</t>
  </si>
  <si>
    <t>Calcium [mg/l]</t>
  </si>
  <si>
    <t>Magnesium [mg/l]</t>
  </si>
  <si>
    <t>Natrium [mg/l]</t>
  </si>
  <si>
    <t>tbd</t>
  </si>
  <si>
    <r>
      <t xml:space="preserve">blaßgelb hinterlegte Felder sind </t>
    </r>
    <r>
      <rPr>
        <b/>
        <sz val="11"/>
        <rFont val="Calibri"/>
        <family val="2"/>
        <scheme val="minor"/>
      </rPr>
      <t>Eingabefelder</t>
    </r>
    <r>
      <rPr>
        <sz val="11"/>
        <rFont val="Calibri"/>
        <family val="2"/>
        <scheme val="minor"/>
      </rPr>
      <t xml:space="preserve">. </t>
    </r>
  </si>
  <si>
    <t>Nur in solchen Feldern sollten Eingaben gemacht werden, alles andere übernimmt Excel</t>
  </si>
  <si>
    <r>
      <t xml:space="preserve">hellrot hinterlegte Felder zeigen an, dass sich der jeweilig dargestellte Wert </t>
    </r>
    <r>
      <rPr>
        <b/>
        <sz val="11"/>
        <rFont val="Calibri"/>
        <family val="2"/>
        <scheme val="minor"/>
      </rPr>
      <t xml:space="preserve">reduziert </t>
    </r>
    <r>
      <rPr>
        <sz val="11"/>
        <rFont val="Calibri"/>
        <family val="2"/>
        <scheme val="minor"/>
      </rPr>
      <t>hat</t>
    </r>
  </si>
  <si>
    <t xml:space="preserve">Die relevanten Werte in Registerkarte </t>
  </si>
  <si>
    <t xml:space="preserve">Das ergibt in der Registerkarte "Zielmengenrechner" </t>
  </si>
  <si>
    <t>folgendes erstes Bild:</t>
  </si>
  <si>
    <t>"Wasserversorger &amp; Aufbereitung" übernehmen:</t>
  </si>
  <si>
    <t>hier die eigenen Wässer</t>
  </si>
  <si>
    <t>neu: Möglichkeit Verschnitt mit Kaufwasser</t>
  </si>
  <si>
    <t>neu: Bierstilauswahl per dropdown zeigt informativ die</t>
  </si>
  <si>
    <t>typische Ionenkonzentration und Restalkalität</t>
  </si>
  <si>
    <t>ergänzen, die beiden Beispiele</t>
  </si>
  <si>
    <t>können auch gelöscht werden</t>
  </si>
  <si>
    <t>Calciumchlorid 33%-Lösung</t>
  </si>
  <si>
    <t>mol/l</t>
  </si>
  <si>
    <t>-Lösung</t>
  </si>
  <si>
    <t>-lösung [g]</t>
  </si>
  <si>
    <t>Dropdown Auswahl für Einheit bei Säuren/Lösungen</t>
  </si>
  <si>
    <t>v1.3 (21.09.2023)</t>
  </si>
  <si>
    <t>v2.0 (26.09.2023)</t>
  </si>
  <si>
    <t>neu: Stoffgabe Calciumchlorid auch als 33%ige Lösung möglich</t>
  </si>
  <si>
    <t>Salz</t>
  </si>
  <si>
    <t>für die gewählte Gesamtwassermenge:</t>
  </si>
  <si>
    <t>Das Ergebnis der Aufbereitung</t>
  </si>
  <si>
    <t>neu: Einheit für Säuren und Lösungen in Gramm oder Milliliter auswählbar</t>
  </si>
  <si>
    <t>grau hinterlegte Felder waren in einer älteren Version Eingabefelder, holen sich ihre Werte aktuell jedoch von einer anderen Stelle. Keine manuelle Eingabe!</t>
  </si>
  <si>
    <t>diverse optische Anpassungen</t>
  </si>
  <si>
    <r>
      <t>mit</t>
    </r>
    <r>
      <rPr>
        <b/>
        <sz val="11"/>
        <color theme="1"/>
        <rFont val="Calibri"/>
        <family val="2"/>
        <scheme val="minor"/>
      </rPr>
      <t xml:space="preserve"> 13,68 g CaSO4 </t>
    </r>
    <r>
      <rPr>
        <sz val="11"/>
        <color theme="1"/>
        <rFont val="Calibri"/>
        <family val="2"/>
        <scheme val="minor"/>
      </rPr>
      <t xml:space="preserve">lande ich bei der notwendigen Restalkalität </t>
    </r>
  </si>
  <si>
    <t>Beispiel anhand Wasser der Stadtwerke Kulmbach</t>
  </si>
  <si>
    <t>v2.1 (29.09.2023)</t>
  </si>
  <si>
    <t>https://maischemalzundmehr.de/index.php?inhaltmitte=exp_maischph</t>
  </si>
  <si>
    <t>1.</t>
  </si>
  <si>
    <t>2.</t>
  </si>
  <si>
    <t>3.</t>
  </si>
  <si>
    <t>4.</t>
  </si>
  <si>
    <t>5.</t>
  </si>
  <si>
    <t>Menge [g]</t>
  </si>
  <si>
    <t>Dropdown Auswahl für Malztyp bei pH-Wertprognose</t>
  </si>
  <si>
    <t>Malz oder Röstmalz</t>
  </si>
  <si>
    <t>Caramalz</t>
  </si>
  <si>
    <t>Anteil</t>
  </si>
  <si>
    <t>Malzfarbe [EBC]</t>
  </si>
  <si>
    <t>Konstante 1</t>
  </si>
  <si>
    <t>Konstante 2</t>
  </si>
  <si>
    <t>Malztyp (dropdown)</t>
  </si>
  <si>
    <t>pH Maische</t>
  </si>
  <si>
    <t>Menge Hauptguß [l]</t>
  </si>
  <si>
    <t>Schüttung Gesamt [g]</t>
  </si>
  <si>
    <t>Korrektur Restalkalität</t>
  </si>
  <si>
    <t>auf</t>
  </si>
  <si>
    <r>
      <t>pH</t>
    </r>
    <r>
      <rPr>
        <vertAlign val="subscript"/>
        <sz val="11"/>
        <color theme="1"/>
        <rFont val="Calibri"/>
        <family val="2"/>
        <scheme val="minor"/>
      </rPr>
      <t>DW</t>
    </r>
    <r>
      <rPr>
        <sz val="11"/>
        <color theme="1"/>
        <rFont val="Calibri"/>
        <family val="2"/>
        <scheme val="minor"/>
      </rPr>
      <t xml:space="preserve"> Schüttung</t>
    </r>
  </si>
  <si>
    <r>
      <t>pH</t>
    </r>
    <r>
      <rPr>
        <b/>
        <vertAlign val="subscript"/>
        <sz val="11"/>
        <color theme="1"/>
        <rFont val="Calibri"/>
        <family val="2"/>
        <scheme val="minor"/>
      </rPr>
      <t>DW</t>
    </r>
  </si>
  <si>
    <t>Brauwasser</t>
  </si>
  <si>
    <t>pH-Wert Maische</t>
  </si>
  <si>
    <t>pH-Wert Maische (Prognose)</t>
  </si>
  <si>
    <t>Hilfsdaten für Tachoanzeige pH-Wert Prognose im Monitor</t>
  </si>
  <si>
    <t>neu: pH-Wert Prognose der Maische und Indikation Korrektur Restalkalität</t>
  </si>
  <si>
    <t>Restalkalität [°dH] aktuell:</t>
  </si>
  <si>
    <t>Die Genauigkeit der pH-Wert Vorhersage liegt bei &lt;0,2 Einheiten.</t>
  </si>
  <si>
    <t>Quelle:</t>
  </si>
  <si>
    <r>
      <rPr>
        <b/>
        <sz val="11"/>
        <color theme="1"/>
        <rFont val="Calibri"/>
        <family val="2"/>
        <scheme val="minor"/>
      </rPr>
      <t>Hinweise</t>
    </r>
    <r>
      <rPr>
        <sz val="11"/>
        <color theme="1"/>
        <rFont val="Calibri"/>
        <family val="2"/>
        <scheme val="minor"/>
      </rPr>
      <t xml:space="preserve"> zu den Eingabefeldern unten:</t>
    </r>
  </si>
  <si>
    <r>
      <t xml:space="preserve">Versuche haben gezeigt, daß es einen hinreichend zuverlässigen Zusammenhang zwischen der </t>
    </r>
    <r>
      <rPr>
        <b/>
        <sz val="11"/>
        <color theme="1"/>
        <rFont val="Calibri"/>
        <family val="2"/>
        <scheme val="minor"/>
      </rPr>
      <t>Malzfarbe in EBC</t>
    </r>
    <r>
      <rPr>
        <sz val="11"/>
        <color theme="1"/>
        <rFont val="Calibri"/>
        <family val="2"/>
        <scheme val="minor"/>
      </rPr>
      <t xml:space="preserve"> und dem </t>
    </r>
    <r>
      <rPr>
        <b/>
        <sz val="11"/>
        <color theme="1"/>
        <rFont val="Calibri"/>
        <family val="2"/>
        <scheme val="minor"/>
      </rPr>
      <t>pH-Wert der Maische</t>
    </r>
    <r>
      <rPr>
        <sz val="11"/>
        <color theme="1"/>
        <rFont val="Calibri"/>
        <family val="2"/>
        <scheme val="minor"/>
      </rPr>
      <t xml:space="preserve"> </t>
    </r>
  </si>
  <si>
    <r>
      <t xml:space="preserve">Zusammen mit der </t>
    </r>
    <r>
      <rPr>
        <b/>
        <sz val="11"/>
        <color theme="1"/>
        <rFont val="Calibri"/>
        <family val="2"/>
        <scheme val="minor"/>
      </rPr>
      <t>Restalkalität</t>
    </r>
    <r>
      <rPr>
        <sz val="11"/>
        <color theme="1"/>
        <rFont val="Calibri"/>
        <family val="2"/>
        <scheme val="minor"/>
      </rPr>
      <t xml:space="preserve"> des Brauwassers und der </t>
    </r>
    <r>
      <rPr>
        <b/>
        <sz val="11"/>
        <color theme="1"/>
        <rFont val="Calibri"/>
        <family val="2"/>
        <scheme val="minor"/>
      </rPr>
      <t>Maischdicke</t>
    </r>
    <r>
      <rPr>
        <sz val="11"/>
        <color theme="1"/>
        <rFont val="Calibri"/>
        <family val="2"/>
        <scheme val="minor"/>
      </rPr>
      <t xml:space="preserve"> (Menge Hauptguß pro Gesamtschüttung) lässt sich eine Prognose zum </t>
    </r>
    <r>
      <rPr>
        <b/>
        <sz val="11"/>
        <color theme="1"/>
        <rFont val="Calibri"/>
        <family val="2"/>
        <scheme val="minor"/>
      </rPr>
      <t>Maische-pH-Wert</t>
    </r>
    <r>
      <rPr>
        <sz val="11"/>
        <color theme="1"/>
        <rFont val="Calibri"/>
        <family val="2"/>
        <scheme val="minor"/>
      </rPr>
      <t xml:space="preserve"> treffen.</t>
    </r>
  </si>
  <si>
    <r>
      <t>Aufgrund der bestehenden Restunsicherheit ergibt ein</t>
    </r>
    <r>
      <rPr>
        <b/>
        <sz val="11"/>
        <color theme="1"/>
        <rFont val="Calibri"/>
        <family val="2"/>
        <scheme val="minor"/>
      </rPr>
      <t xml:space="preserve"> Ziel-pH-Wert von 5,5 das Optimum</t>
    </r>
    <r>
      <rPr>
        <sz val="11"/>
        <color theme="1"/>
        <rFont val="Calibri"/>
        <family val="2"/>
        <scheme val="minor"/>
      </rPr>
      <t xml:space="preserve"> für eine gute Enzymaktivität in der Maische.</t>
    </r>
  </si>
  <si>
    <t>Eine Verschiebung der Restalkalität um 5 °dH verändert den Maische-pH-Wert rechnerisch nur um 0,12 Einheiten.</t>
  </si>
  <si>
    <t>• Alle unvermälzten Getreidesorten, z.B. Haferflocken oder auch Röstgerste, sind unter "Malz/Röstmalz" anzugeben.</t>
  </si>
  <si>
    <t>• Alle Sorten Carafa gelten als Röstmalz und nicht (!) als Caramalz.</t>
  </si>
  <si>
    <t>werden.</t>
  </si>
  <si>
    <r>
      <t>Restalkalität [°dH] notwendig für pH</t>
    </r>
    <r>
      <rPr>
        <b/>
        <vertAlign val="subscript"/>
        <sz val="14"/>
        <color theme="1"/>
        <rFont val="Calibri"/>
        <family val="2"/>
        <scheme val="minor"/>
      </rPr>
      <t>Maische</t>
    </r>
    <r>
      <rPr>
        <b/>
        <sz val="14"/>
        <color theme="1"/>
        <rFont val="Calibri"/>
        <family val="2"/>
        <scheme val="minor"/>
      </rPr>
      <t xml:space="preserve"> = 5,50:</t>
    </r>
  </si>
  <si>
    <t>Die Wahrscheinlichkeit für eine gute Enzymtätigkeit ist bei einem errechneten pH-Wert von 5,5 am größten.</t>
  </si>
  <si>
    <t>Prognose pH-Wert Maische</t>
  </si>
  <si>
    <t>Je nach Anwendungsfall könnte daher die Rückwärtsrechnung der RA für einen pH-Wert von 5,50 unrealistische Werte ergeben.</t>
  </si>
  <si>
    <r>
      <rPr>
        <b/>
        <sz val="11"/>
        <color theme="1"/>
        <rFont val="Calibri"/>
        <family val="2"/>
        <scheme val="minor"/>
      </rPr>
      <t>in destilliertem Wasser</t>
    </r>
    <r>
      <rPr>
        <sz val="11"/>
        <color theme="1"/>
        <rFont val="Calibri"/>
        <family val="2"/>
        <scheme val="minor"/>
      </rPr>
      <t xml:space="preserve"> (pH</t>
    </r>
    <r>
      <rPr>
        <vertAlign val="subscript"/>
        <sz val="11"/>
        <color theme="1"/>
        <rFont val="Calibri"/>
        <family val="2"/>
        <scheme val="minor"/>
      </rPr>
      <t>DW</t>
    </r>
    <r>
      <rPr>
        <sz val="11"/>
        <color theme="1"/>
        <rFont val="Calibri"/>
        <family val="2"/>
        <scheme val="minor"/>
      </rPr>
      <t>) gibt, s.a. Diagramme rechts.</t>
    </r>
  </si>
  <si>
    <t>Für einen pH-Wert von 5,50 müsste die Restalkalität um</t>
  </si>
  <si>
    <t xml:space="preserve">• Sauermalzgaben brauchen hier nicht aufgeführt werden, Sauermalz wird im Tabellenblatt "Zielmengenrechner" erfasst.  </t>
  </si>
  <si>
    <r>
      <rPr>
        <b/>
        <sz val="11"/>
        <color theme="1"/>
        <rFont val="Calibri"/>
        <family val="2"/>
        <scheme val="minor"/>
      </rPr>
      <t>Kommentar:</t>
    </r>
    <r>
      <rPr>
        <sz val="11"/>
        <color theme="1"/>
        <rFont val="Calibri"/>
        <family val="2"/>
        <scheme val="minor"/>
      </rPr>
      <t xml:space="preserve"> Der Einfluß der Restalkalität des Brauwassers auf den Maische-pH-Wert ist (für mich überraschend) vgl. klein.</t>
    </r>
  </si>
  <si>
    <t>Netto Naturalis still Clara Quelle</t>
  </si>
  <si>
    <t>REWE ja! Natürliches Mineralwasser still</t>
  </si>
  <si>
    <t>v3.0 (10.10.2023)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</si>
</sst>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00"/>
    <numFmt numFmtId="166" formatCode="0.000"/>
  </numFmts>
  <fonts count="32"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9"/>
      <color indexed="81"/>
      <name val="Segoe UI"/>
      <family val="2"/>
    </font>
    <font>
      <sz val="11"/>
      <color theme="0" tint="-0.34998626667073579"/>
      <name val="Calibri"/>
      <family val="2"/>
      <scheme val="minor"/>
    </font>
    <font>
      <b/>
      <vertAlign val="subscript"/>
      <sz val="11"/>
      <color theme="1"/>
      <name val="Calibri"/>
      <family val="2"/>
      <scheme val="minor"/>
    </font>
    <font>
      <sz val="11"/>
      <name val="Calibri"/>
      <family val="2"/>
      <scheme val="minor"/>
    </font>
    <font>
      <b/>
      <sz val="14"/>
      <color theme="1"/>
      <name val="Calibri"/>
      <family val="2"/>
      <scheme val="minor"/>
    </font>
    <font>
      <b/>
      <sz val="12"/>
      <color theme="1"/>
      <name val="Calibri"/>
      <family val="2"/>
      <scheme val="minor"/>
    </font>
    <font>
      <u/>
      <sz val="11"/>
      <color theme="10"/>
      <name val="Calibri"/>
      <family val="2"/>
      <scheme val="minor"/>
    </font>
    <font>
      <sz val="8"/>
      <color theme="1"/>
      <name val="Calibri"/>
      <family val="2"/>
      <scheme val="minor"/>
    </font>
    <font>
      <sz val="14"/>
      <color theme="1"/>
      <name val="Calibri"/>
      <family val="2"/>
      <scheme val="minor"/>
    </font>
    <font>
      <b/>
      <sz val="16"/>
      <name val="Calibri"/>
      <family val="2"/>
      <scheme val="minor"/>
    </font>
    <font>
      <b/>
      <sz val="11"/>
      <name val="Calibri"/>
      <family val="2"/>
      <scheme val="minor"/>
    </font>
    <font>
      <b/>
      <sz val="24"/>
      <color theme="1"/>
      <name val="Calibri"/>
      <family val="2"/>
      <scheme val="minor"/>
    </font>
    <font>
      <sz val="12"/>
      <color theme="1"/>
      <name val="Calibri"/>
      <family val="2"/>
      <scheme val="minor"/>
    </font>
    <font>
      <b/>
      <sz val="20"/>
      <color theme="1"/>
      <name val="Calibri"/>
      <family val="2"/>
      <scheme val="minor"/>
    </font>
    <font>
      <sz val="11"/>
      <color rgb="FFFF0000"/>
      <name val="Calibri"/>
      <family val="2"/>
      <scheme val="minor"/>
    </font>
    <font>
      <sz val="11"/>
      <color theme="1"/>
      <name val="Arial"/>
      <family val="2"/>
    </font>
    <font>
      <sz val="9"/>
      <color theme="1"/>
      <name val="Arial"/>
      <family val="2"/>
    </font>
    <font>
      <b/>
      <u/>
      <sz val="12"/>
      <color theme="1"/>
      <name val="Calibri"/>
      <family val="2"/>
      <scheme val="minor"/>
    </font>
    <font>
      <sz val="12"/>
      <color theme="0" tint="-0.34998626667073579"/>
      <name val="Calibri"/>
      <family val="2"/>
      <scheme val="minor"/>
    </font>
    <font>
      <b/>
      <sz val="9"/>
      <color indexed="81"/>
      <name val="Segoe UI"/>
      <family val="2"/>
    </font>
    <font>
      <sz val="8"/>
      <name val="Calibri"/>
      <family val="2"/>
      <scheme val="minor"/>
    </font>
    <font>
      <sz val="11"/>
      <color theme="0" tint="-0.499984740745262"/>
      <name val="Calibri"/>
      <family val="2"/>
      <scheme val="minor"/>
    </font>
    <font>
      <vertAlign val="subscript"/>
      <sz val="11"/>
      <color theme="1"/>
      <name val="Calibri"/>
      <family val="2"/>
      <scheme val="minor"/>
    </font>
    <font>
      <b/>
      <vertAlign val="subscript"/>
      <sz val="14"/>
      <color theme="1"/>
      <name val="Calibri"/>
      <family val="2"/>
      <scheme val="minor"/>
    </font>
    <font>
      <sz val="12"/>
      <color rgb="FF0070C0"/>
      <name val="Calibri"/>
      <family val="2"/>
      <scheme val="minor"/>
    </font>
    <font>
      <u/>
      <sz val="10"/>
      <color theme="10"/>
      <name val="Calibri"/>
      <family val="2"/>
      <scheme val="minor"/>
    </font>
    <font>
      <sz val="9"/>
      <color indexed="81"/>
      <name val="Tahoma"/>
      <charset val="1"/>
    </font>
    <font>
      <b/>
      <sz val="9"/>
      <color indexed="81"/>
      <name val="Tahoma"/>
      <charset val="1"/>
    </font>
  </fonts>
  <fills count="28">
    <fill>
      <patternFill patternType="none"/>
    </fill>
    <fill>
      <patternFill patternType="gray125"/>
    </fill>
    <fill>
      <patternFill patternType="solid">
        <fgColor theme="7" tint="0.79998168889431442"/>
        <bgColor indexed="64"/>
      </patternFill>
    </fill>
    <fill>
      <patternFill patternType="solid">
        <fgColor rgb="FFF2F2F2"/>
        <bgColor indexed="64"/>
      </patternFill>
    </fill>
    <fill>
      <patternFill patternType="solid">
        <fgColor theme="9" tint="0.79998168889431442"/>
        <bgColor indexed="64"/>
      </patternFill>
    </fill>
    <fill>
      <patternFill patternType="solid">
        <fgColor rgb="FF66FF66"/>
        <bgColor indexed="64"/>
      </patternFill>
    </fill>
    <fill>
      <patternFill patternType="solid">
        <fgColor rgb="FFFFCC00"/>
        <bgColor indexed="64"/>
      </patternFill>
    </fill>
    <fill>
      <patternFill patternType="solid">
        <fgColor rgb="FFCCFFCC"/>
        <bgColor indexed="64"/>
      </patternFill>
    </fill>
    <fill>
      <patternFill patternType="solid">
        <fgColor rgb="FFFFCCCC"/>
        <bgColor indexed="64"/>
      </patternFill>
    </fill>
    <fill>
      <patternFill patternType="solid">
        <fgColor rgb="FFFF5050"/>
        <bgColor indexed="64"/>
      </patternFill>
    </fill>
    <fill>
      <patternFill patternType="solid">
        <fgColor theme="6" tint="-0.249977111117893"/>
        <bgColor indexed="64"/>
      </patternFill>
    </fill>
    <fill>
      <patternFill patternType="solid">
        <fgColor rgb="FFFFF8E5"/>
        <bgColor indexed="64"/>
      </patternFill>
    </fill>
    <fill>
      <patternFill patternType="solid">
        <fgColor rgb="FFF3FFE7"/>
        <bgColor indexed="64"/>
      </patternFill>
    </fill>
    <fill>
      <patternFill patternType="solid">
        <fgColor rgb="FFE2FFC5"/>
        <bgColor indexed="64"/>
      </patternFill>
    </fill>
    <fill>
      <patternFill patternType="solid">
        <fgColor rgb="FF8DB284"/>
        <bgColor indexed="64"/>
      </patternFill>
    </fill>
    <fill>
      <patternFill patternType="solid">
        <fgColor rgb="FFCCFFFF"/>
        <bgColor indexed="64"/>
      </patternFill>
    </fill>
    <fill>
      <patternFill patternType="solid">
        <fgColor rgb="FFEBFFFF"/>
        <bgColor indexed="64"/>
      </patternFill>
    </fill>
    <fill>
      <patternFill patternType="solid">
        <fgColor rgb="FFF5F5F5"/>
        <bgColor indexed="64"/>
      </patternFill>
    </fill>
    <fill>
      <patternFill patternType="solid">
        <fgColor rgb="FFFFFFE7"/>
        <bgColor indexed="64"/>
      </patternFill>
    </fill>
    <fill>
      <patternFill patternType="solid">
        <fgColor rgb="FFFFF3F3"/>
        <bgColor indexed="64"/>
      </patternFill>
    </fill>
    <fill>
      <patternFill patternType="solid">
        <fgColor rgb="FF938271"/>
        <bgColor indexed="64"/>
      </patternFill>
    </fill>
    <fill>
      <patternFill patternType="solid">
        <fgColor rgb="FFEDF1F9"/>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99"/>
        <bgColor indexed="64"/>
      </patternFill>
    </fill>
    <fill>
      <patternFill patternType="solid">
        <fgColor theme="0"/>
        <bgColor indexed="64"/>
      </patternFill>
    </fill>
    <fill>
      <patternFill patternType="solid">
        <fgColor rgb="FFECCC70"/>
        <bgColor indexed="64"/>
      </patternFill>
    </fill>
    <fill>
      <patternFill patternType="solid">
        <fgColor rgb="FFFCF7E8"/>
        <bgColor indexed="64"/>
      </patternFill>
    </fill>
  </fills>
  <borders count="80">
    <border>
      <left/>
      <right/>
      <top/>
      <bottom/>
      <diagonal/>
    </border>
    <border>
      <left style="medium">
        <color rgb="FF808080"/>
      </left>
      <right/>
      <top style="medium">
        <color rgb="FF808080"/>
      </top>
      <bottom/>
      <diagonal/>
    </border>
    <border>
      <left/>
      <right/>
      <top style="medium">
        <color rgb="FF808080"/>
      </top>
      <bottom/>
      <diagonal/>
    </border>
    <border>
      <left/>
      <right style="medium">
        <color rgb="FF808080"/>
      </right>
      <top style="medium">
        <color rgb="FF808080"/>
      </top>
      <bottom/>
      <diagonal/>
    </border>
    <border>
      <left style="medium">
        <color rgb="FF808080"/>
      </left>
      <right/>
      <top/>
      <bottom/>
      <diagonal/>
    </border>
    <border>
      <left/>
      <right style="medium">
        <color rgb="FF808080"/>
      </right>
      <top/>
      <bottom/>
      <diagonal/>
    </border>
    <border>
      <left style="medium">
        <color rgb="FF808080"/>
      </left>
      <right/>
      <top/>
      <bottom style="medium">
        <color rgb="FF808080"/>
      </bottom>
      <diagonal/>
    </border>
    <border>
      <left/>
      <right/>
      <top/>
      <bottom style="medium">
        <color rgb="FF808080"/>
      </bottom>
      <diagonal/>
    </border>
    <border>
      <left/>
      <right style="medium">
        <color rgb="FF808080"/>
      </right>
      <top/>
      <bottom style="medium">
        <color rgb="FF808080"/>
      </bottom>
      <diagonal/>
    </border>
    <border>
      <left/>
      <right/>
      <top style="mediumDashed">
        <color indexed="64"/>
      </top>
      <bottom/>
      <diagonal/>
    </border>
    <border>
      <left style="thin">
        <color theme="7"/>
      </left>
      <right style="thin">
        <color theme="7"/>
      </right>
      <top style="thin">
        <color theme="7"/>
      </top>
      <bottom style="thin">
        <color theme="7"/>
      </bottom>
      <diagonal/>
    </border>
    <border>
      <left/>
      <right style="thin">
        <color theme="7"/>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style="medium">
        <color rgb="FFDDDDDD"/>
      </top>
      <bottom/>
      <diagonal/>
    </border>
    <border>
      <left/>
      <right style="medium">
        <color theme="0" tint="-0.499984740745262"/>
      </right>
      <top style="medium">
        <color rgb="FFDDDDDD"/>
      </top>
      <bottom/>
      <diagonal/>
    </border>
    <border>
      <left style="medium">
        <color theme="0" tint="-0.499984740745262"/>
      </left>
      <right/>
      <top style="medium">
        <color rgb="FFDDDDDD"/>
      </top>
      <bottom style="medium">
        <color theme="0" tint="-0.499984740745262"/>
      </bottom>
      <diagonal/>
    </border>
    <border>
      <left/>
      <right style="medium">
        <color theme="0" tint="-0.499984740745262"/>
      </right>
      <top style="medium">
        <color rgb="FFDDDDDD"/>
      </top>
      <bottom style="medium">
        <color theme="0" tint="-0.499984740745262"/>
      </bottom>
      <diagonal/>
    </border>
    <border>
      <left style="medium">
        <color rgb="FF92D050"/>
      </left>
      <right/>
      <top/>
      <bottom/>
      <diagonal/>
    </border>
    <border>
      <left/>
      <right style="medium">
        <color rgb="FF92D050"/>
      </right>
      <top/>
      <bottom/>
      <diagonal/>
    </border>
    <border>
      <left style="medium">
        <color rgb="FF92D050"/>
      </left>
      <right/>
      <top/>
      <bottom style="medium">
        <color rgb="FF92D050"/>
      </bottom>
      <diagonal/>
    </border>
    <border>
      <left/>
      <right/>
      <top/>
      <bottom style="medium">
        <color rgb="FF92D050"/>
      </bottom>
      <diagonal/>
    </border>
    <border>
      <left/>
      <right style="medium">
        <color rgb="FF92D050"/>
      </right>
      <top/>
      <bottom style="medium">
        <color rgb="FF92D05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style="thin">
        <color theme="9" tint="-0.499984740745262"/>
      </right>
      <top/>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style="thin">
        <color theme="9" tint="-0.499984740745262"/>
      </right>
      <top style="thin">
        <color theme="9" tint="-0.499984740745262"/>
      </top>
      <bottom/>
      <diagonal/>
    </border>
    <border>
      <left style="thin">
        <color theme="7" tint="-0.24994659260841701"/>
      </left>
      <right/>
      <top/>
      <bottom/>
      <diagonal/>
    </border>
    <border>
      <left/>
      <right style="thin">
        <color theme="7" tint="-0.24994659260841701"/>
      </right>
      <top/>
      <bottom/>
      <diagonal/>
    </border>
    <border>
      <left style="medium">
        <color rgb="FF401D06"/>
      </left>
      <right/>
      <top style="medium">
        <color rgb="FF401D06"/>
      </top>
      <bottom/>
      <diagonal/>
    </border>
    <border>
      <left/>
      <right/>
      <top style="medium">
        <color rgb="FF401D06"/>
      </top>
      <bottom/>
      <diagonal/>
    </border>
    <border>
      <left/>
      <right style="medium">
        <color rgb="FF401D06"/>
      </right>
      <top style="medium">
        <color rgb="FF401D06"/>
      </top>
      <bottom/>
      <diagonal/>
    </border>
    <border>
      <left style="medium">
        <color rgb="FF401D06"/>
      </left>
      <right/>
      <top/>
      <bottom/>
      <diagonal/>
    </border>
    <border>
      <left/>
      <right style="medium">
        <color rgb="FF401D06"/>
      </right>
      <top/>
      <bottom/>
      <diagonal/>
    </border>
    <border>
      <left style="medium">
        <color rgb="FF401D06"/>
      </left>
      <right/>
      <top/>
      <bottom style="medium">
        <color rgb="FF401D06"/>
      </bottom>
      <diagonal/>
    </border>
    <border>
      <left/>
      <right/>
      <top/>
      <bottom style="medium">
        <color rgb="FF401D06"/>
      </bottom>
      <diagonal/>
    </border>
    <border>
      <left/>
      <right style="medium">
        <color rgb="FF401D06"/>
      </right>
      <top/>
      <bottom style="medium">
        <color rgb="FF401D06"/>
      </bottom>
      <diagonal/>
    </border>
    <border>
      <left style="thin">
        <color indexed="64"/>
      </left>
      <right style="thin">
        <color indexed="64"/>
      </right>
      <top style="thin">
        <color indexed="64"/>
      </top>
      <bottom style="thin">
        <color indexed="64"/>
      </bottom>
      <diagonal/>
    </border>
    <border>
      <left style="thin">
        <color theme="9" tint="-0.499984740745262"/>
      </left>
      <right style="thin">
        <color theme="9" tint="-0.499984740745262"/>
      </right>
      <top/>
      <bottom style="thin">
        <color theme="9" tint="-0.499984740745262"/>
      </bottom>
      <diagonal/>
    </border>
    <border>
      <left style="thin">
        <color auto="1"/>
      </left>
      <right style="thin">
        <color auto="1"/>
      </right>
      <top/>
      <bottom/>
      <diagonal/>
    </border>
    <border>
      <left/>
      <right/>
      <top/>
      <bottom style="thin">
        <color theme="7"/>
      </bottom>
      <diagonal/>
    </border>
    <border>
      <left style="thick">
        <color theme="8" tint="0.39994506668294322"/>
      </left>
      <right/>
      <top style="thick">
        <color theme="8" tint="0.39994506668294322"/>
      </top>
      <bottom/>
      <diagonal/>
    </border>
    <border>
      <left/>
      <right/>
      <top style="thick">
        <color theme="8" tint="0.39994506668294322"/>
      </top>
      <bottom/>
      <diagonal/>
    </border>
    <border>
      <left/>
      <right style="thick">
        <color theme="8" tint="0.39994506668294322"/>
      </right>
      <top style="thick">
        <color theme="8" tint="0.39994506668294322"/>
      </top>
      <bottom/>
      <diagonal/>
    </border>
    <border>
      <left style="thick">
        <color theme="8" tint="0.39994506668294322"/>
      </left>
      <right/>
      <top/>
      <bottom/>
      <diagonal/>
    </border>
    <border>
      <left/>
      <right style="thick">
        <color theme="8" tint="0.39994506668294322"/>
      </right>
      <top/>
      <bottom/>
      <diagonal/>
    </border>
    <border>
      <left style="thick">
        <color theme="8" tint="0.39994506668294322"/>
      </left>
      <right/>
      <top/>
      <bottom style="thick">
        <color theme="8" tint="0.39994506668294322"/>
      </bottom>
      <diagonal/>
    </border>
    <border>
      <left/>
      <right/>
      <top/>
      <bottom style="thick">
        <color theme="8" tint="0.39994506668294322"/>
      </bottom>
      <diagonal/>
    </border>
    <border>
      <left/>
      <right style="thick">
        <color theme="8" tint="0.39994506668294322"/>
      </right>
      <top/>
      <bottom style="thick">
        <color theme="8" tint="0.39994506668294322"/>
      </bottom>
      <diagonal/>
    </border>
    <border>
      <left style="thick">
        <color rgb="FF00B0F0"/>
      </left>
      <right/>
      <top style="thick">
        <color rgb="FF00B0F0"/>
      </top>
      <bottom/>
      <diagonal/>
    </border>
    <border>
      <left/>
      <right/>
      <top style="thick">
        <color rgb="FF00B0F0"/>
      </top>
      <bottom/>
      <diagonal/>
    </border>
    <border>
      <left/>
      <right style="thick">
        <color rgb="FF00B0F0"/>
      </right>
      <top style="thick">
        <color rgb="FF00B0F0"/>
      </top>
      <bottom/>
      <diagonal/>
    </border>
    <border>
      <left style="thick">
        <color rgb="FF00B0F0"/>
      </left>
      <right/>
      <top/>
      <bottom/>
      <diagonal/>
    </border>
    <border>
      <left/>
      <right style="thick">
        <color rgb="FF00B0F0"/>
      </right>
      <top/>
      <bottom/>
      <diagonal/>
    </border>
    <border>
      <left style="thick">
        <color rgb="FF00B0F0"/>
      </left>
      <right/>
      <top/>
      <bottom style="thick">
        <color rgb="FF00B0F0"/>
      </bottom>
      <diagonal/>
    </border>
    <border>
      <left/>
      <right/>
      <top/>
      <bottom style="thick">
        <color rgb="FF00B0F0"/>
      </bottom>
      <diagonal/>
    </border>
    <border>
      <left/>
      <right style="thick">
        <color rgb="FF00B0F0"/>
      </right>
      <top/>
      <bottom style="thick">
        <color rgb="FF00B0F0"/>
      </bottom>
      <diagonal/>
    </border>
    <border>
      <left style="hair">
        <color auto="1"/>
      </left>
      <right style="hair">
        <color auto="1"/>
      </right>
      <top style="hair">
        <color auto="1"/>
      </top>
      <bottom style="hair">
        <color auto="1"/>
      </bottom>
      <diagonal/>
    </border>
    <border>
      <left style="thin">
        <color theme="0" tint="-0.499984740745262"/>
      </left>
      <right style="thin">
        <color theme="0" tint="-0.499984740745262"/>
      </right>
      <top style="thin">
        <color theme="0" tint="-0.499984740745262"/>
      </top>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medium">
        <color indexed="64"/>
      </right>
      <top style="medium">
        <color indexed="64"/>
      </top>
      <bottom style="hair">
        <color auto="1"/>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style="thin">
        <color theme="7"/>
      </right>
      <top style="thin">
        <color theme="7"/>
      </top>
      <bottom style="thin">
        <color theme="7"/>
      </bottom>
      <diagonal/>
    </border>
    <border>
      <left style="thin">
        <color theme="7"/>
      </left>
      <right style="medium">
        <color indexed="64"/>
      </right>
      <top style="thin">
        <color theme="7"/>
      </top>
      <bottom style="thin">
        <color theme="7"/>
      </bottom>
      <diagonal/>
    </border>
    <border>
      <left style="medium">
        <color indexed="64"/>
      </left>
      <right style="thin">
        <color theme="7"/>
      </right>
      <top style="thin">
        <color theme="7"/>
      </top>
      <bottom style="medium">
        <color indexed="64"/>
      </bottom>
      <diagonal/>
    </border>
    <border>
      <left style="thin">
        <color theme="7"/>
      </left>
      <right style="thin">
        <color theme="7"/>
      </right>
      <top style="thin">
        <color theme="7"/>
      </top>
      <bottom style="medium">
        <color indexed="64"/>
      </bottom>
      <diagonal/>
    </border>
    <border>
      <left style="thin">
        <color theme="7"/>
      </left>
      <right style="medium">
        <color indexed="64"/>
      </right>
      <top style="thin">
        <color theme="7"/>
      </top>
      <bottom style="medium">
        <color indexed="64"/>
      </bottom>
      <diagonal/>
    </border>
    <border>
      <left style="thin">
        <color theme="0" tint="-0.499984740745262"/>
      </left>
      <right style="thin">
        <color theme="0" tint="-0.499984740745262"/>
      </right>
      <top style="thick">
        <color theme="8" tint="0.39994506668294322"/>
      </top>
      <bottom style="thin">
        <color theme="0" tint="-0.499984740745262"/>
      </bottom>
      <diagonal/>
    </border>
  </borders>
  <cellStyleXfs count="3">
    <xf numFmtId="0" fontId="0" fillId="0" borderId="0"/>
    <xf numFmtId="9" fontId="1" fillId="0" borderId="0" applyFont="0" applyFill="0" applyBorder="0" applyAlignment="0" applyProtection="0"/>
    <xf numFmtId="0" fontId="10" fillId="0" borderId="0" applyNumberFormat="0" applyFill="0" applyBorder="0" applyAlignment="0" applyProtection="0"/>
  </cellStyleXfs>
  <cellXfs count="477">
    <xf numFmtId="0" fontId="0" fillId="0" borderId="0" xfId="0"/>
    <xf numFmtId="0" fontId="2" fillId="0" borderId="0" xfId="0" applyFont="1"/>
    <xf numFmtId="2" fontId="0" fillId="0" borderId="0" xfId="0" applyNumberFormat="1"/>
    <xf numFmtId="164" fontId="0" fillId="0" borderId="0" xfId="0" applyNumberFormat="1"/>
    <xf numFmtId="0" fontId="3" fillId="0" borderId="0" xfId="0" applyFont="1"/>
    <xf numFmtId="0" fontId="0" fillId="0" borderId="0" xfId="0" applyAlignment="1">
      <alignment vertical="center" wrapText="1"/>
    </xf>
    <xf numFmtId="0" fontId="2" fillId="0" borderId="0" xfId="0" applyFont="1" applyAlignment="1">
      <alignment horizontal="center" vertical="center" wrapText="1"/>
    </xf>
    <xf numFmtId="0" fontId="5" fillId="0" borderId="0" xfId="0" applyFont="1"/>
    <xf numFmtId="0" fontId="2" fillId="3" borderId="1" xfId="0" applyFont="1" applyFill="1" applyBorder="1" applyAlignment="1">
      <alignment vertical="center" wrapText="1"/>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7" xfId="0" applyBorder="1"/>
    <xf numFmtId="0" fontId="0" fillId="0" borderId="8" xfId="0" applyBorder="1"/>
    <xf numFmtId="0" fontId="0" fillId="0" borderId="0" xfId="0" applyAlignment="1">
      <alignment horizontal="center"/>
    </xf>
    <xf numFmtId="0" fontId="10" fillId="0" borderId="0" xfId="2"/>
    <xf numFmtId="0" fontId="0" fillId="0" borderId="0" xfId="0" applyBorder="1"/>
    <xf numFmtId="0" fontId="0" fillId="0" borderId="0" xfId="0" applyAlignment="1">
      <alignment horizontal="center"/>
    </xf>
    <xf numFmtId="0" fontId="2" fillId="4" borderId="2" xfId="0" applyFont="1" applyFill="1" applyBorder="1" applyAlignment="1">
      <alignment vertical="center" wrapText="1"/>
    </xf>
    <xf numFmtId="0" fontId="0" fillId="4" borderId="0" xfId="0" applyFill="1" applyAlignment="1">
      <alignment vertical="center" wrapText="1"/>
    </xf>
    <xf numFmtId="0" fontId="0" fillId="4" borderId="7" xfId="0" applyFill="1" applyBorder="1" applyAlignment="1">
      <alignment vertical="center" wrapText="1"/>
    </xf>
    <xf numFmtId="0" fontId="11" fillId="0" borderId="0" xfId="0" applyFont="1"/>
    <xf numFmtId="0" fontId="5" fillId="0" borderId="0" xfId="0" applyFont="1" applyAlignment="1">
      <alignment horizontal="center"/>
    </xf>
    <xf numFmtId="0" fontId="5" fillId="0" borderId="0" xfId="0" applyFont="1" applyBorder="1"/>
    <xf numFmtId="0" fontId="7" fillId="0" borderId="0" xfId="0" applyFont="1"/>
    <xf numFmtId="0" fontId="13" fillId="0" borderId="0" xfId="0" applyFont="1"/>
    <xf numFmtId="0" fontId="7" fillId="0" borderId="0" xfId="0" applyFont="1" applyBorder="1"/>
    <xf numFmtId="0" fontId="5" fillId="0" borderId="9" xfId="0" applyFont="1" applyBorder="1"/>
    <xf numFmtId="0" fontId="0" fillId="0" borderId="9" xfId="0" applyBorder="1" applyAlignment="1">
      <alignment horizontal="center"/>
    </xf>
    <xf numFmtId="0" fontId="5" fillId="0" borderId="9" xfId="0" applyFont="1" applyBorder="1" applyAlignment="1">
      <alignment horizontal="center"/>
    </xf>
    <xf numFmtId="0" fontId="7" fillId="0" borderId="0" xfId="0" applyFont="1" applyAlignment="1">
      <alignment horizontal="left"/>
    </xf>
    <xf numFmtId="0" fontId="0" fillId="0" borderId="0" xfId="0" applyAlignment="1">
      <alignment horizontal="left"/>
    </xf>
    <xf numFmtId="0" fontId="7" fillId="0" borderId="9" xfId="0" applyFont="1" applyBorder="1"/>
    <xf numFmtId="0" fontId="0" fillId="0" borderId="9" xfId="0" applyBorder="1" applyAlignment="1">
      <alignment horizontal="left"/>
    </xf>
    <xf numFmtId="0" fontId="0" fillId="10" borderId="0" xfId="0" applyFill="1"/>
    <xf numFmtId="0" fontId="0" fillId="11" borderId="0" xfId="0" applyFill="1"/>
    <xf numFmtId="0" fontId="0" fillId="11" borderId="0" xfId="0" applyFill="1" applyAlignment="1">
      <alignment horizontal="center"/>
    </xf>
    <xf numFmtId="0" fontId="3" fillId="11" borderId="0" xfId="0" applyFont="1" applyFill="1" applyAlignment="1">
      <alignment horizontal="right"/>
    </xf>
    <xf numFmtId="0" fontId="0" fillId="11" borderId="0" xfId="0" applyFill="1" applyAlignment="1">
      <alignment horizontal="center"/>
    </xf>
    <xf numFmtId="0" fontId="5" fillId="11" borderId="0" xfId="0" applyFont="1" applyFill="1"/>
    <xf numFmtId="0" fontId="0" fillId="12" borderId="0" xfId="0" applyFill="1"/>
    <xf numFmtId="0" fontId="3" fillId="12" borderId="0" xfId="0" applyFont="1" applyFill="1" applyAlignment="1">
      <alignment horizontal="left"/>
    </xf>
    <xf numFmtId="0" fontId="3" fillId="12" borderId="0" xfId="0" applyFont="1" applyFill="1" applyAlignment="1">
      <alignment horizontal="right"/>
    </xf>
    <xf numFmtId="0" fontId="0" fillId="12" borderId="0" xfId="0" applyFill="1" applyBorder="1"/>
    <xf numFmtId="0" fontId="5" fillId="12" borderId="0" xfId="0" applyFont="1" applyFill="1" applyBorder="1"/>
    <xf numFmtId="0" fontId="5" fillId="12" borderId="0" xfId="0" applyFont="1" applyFill="1"/>
    <xf numFmtId="0" fontId="0" fillId="12" borderId="0" xfId="0" applyFill="1" applyAlignment="1">
      <alignment horizontal="center"/>
    </xf>
    <xf numFmtId="0" fontId="0" fillId="13" borderId="0" xfId="0" applyFill="1"/>
    <xf numFmtId="0" fontId="0" fillId="2" borderId="10" xfId="0" applyFill="1" applyBorder="1" applyAlignment="1">
      <alignment horizontal="center"/>
    </xf>
    <xf numFmtId="0" fontId="0" fillId="0" borderId="0" xfId="0" applyBorder="1" applyAlignment="1">
      <alignment horizontal="center"/>
    </xf>
    <xf numFmtId="0" fontId="0" fillId="0" borderId="0" xfId="0" applyBorder="1" applyAlignment="1">
      <alignment horizontal="left"/>
    </xf>
    <xf numFmtId="0" fontId="5" fillId="0" borderId="0" xfId="0" applyFont="1" applyBorder="1" applyAlignment="1">
      <alignment horizontal="center"/>
    </xf>
    <xf numFmtId="0" fontId="3" fillId="11" borderId="0" xfId="0" applyFont="1" applyFill="1" applyAlignment="1">
      <alignment horizontal="center"/>
    </xf>
    <xf numFmtId="2" fontId="0" fillId="16" borderId="0" xfId="0" applyNumberFormat="1" applyFill="1" applyBorder="1"/>
    <xf numFmtId="0" fontId="0" fillId="20" borderId="0" xfId="0" applyFill="1" applyBorder="1"/>
    <xf numFmtId="0" fontId="8" fillId="20" borderId="0" xfId="0" applyFont="1" applyFill="1" applyBorder="1"/>
    <xf numFmtId="0" fontId="0" fillId="20" borderId="0" xfId="0" applyFill="1" applyBorder="1" applyAlignment="1">
      <alignment horizontal="center"/>
    </xf>
    <xf numFmtId="0" fontId="0" fillId="20" borderId="0" xfId="0" applyFill="1" applyBorder="1" applyAlignment="1">
      <alignment horizontal="right"/>
    </xf>
    <xf numFmtId="0" fontId="5" fillId="20" borderId="0" xfId="0" applyFont="1" applyFill="1" applyBorder="1"/>
    <xf numFmtId="0" fontId="7" fillId="20" borderId="0" xfId="0" applyFont="1" applyFill="1" applyBorder="1"/>
    <xf numFmtId="0" fontId="7" fillId="20" borderId="0" xfId="0" applyFont="1" applyFill="1" applyBorder="1" applyAlignment="1">
      <alignment horizontal="right"/>
    </xf>
    <xf numFmtId="0" fontId="0" fillId="20" borderId="0" xfId="0" applyFill="1"/>
    <xf numFmtId="0" fontId="9" fillId="20" borderId="0" xfId="0" applyFont="1" applyFill="1" applyBorder="1"/>
    <xf numFmtId="0" fontId="15" fillId="20" borderId="0" xfId="0" applyFont="1" applyFill="1" applyBorder="1"/>
    <xf numFmtId="0" fontId="0" fillId="0" borderId="0" xfId="0" quotePrefix="1"/>
    <xf numFmtId="0" fontId="0" fillId="12" borderId="0" xfId="0" applyFill="1" applyAlignment="1">
      <alignment horizontal="right"/>
    </xf>
    <xf numFmtId="0" fontId="0" fillId="12" borderId="0" xfId="0" applyFill="1" applyBorder="1" applyAlignment="1">
      <alignment horizontal="center"/>
    </xf>
    <xf numFmtId="0" fontId="5" fillId="12" borderId="0" xfId="0" applyFont="1" applyFill="1" applyAlignment="1">
      <alignment horizontal="center"/>
    </xf>
    <xf numFmtId="0" fontId="16" fillId="0" borderId="0" xfId="0" applyFont="1"/>
    <xf numFmtId="0" fontId="19" fillId="0" borderId="13" xfId="0" applyFont="1" applyBorder="1" applyAlignment="1">
      <alignment vertical="top" wrapText="1"/>
    </xf>
    <xf numFmtId="0" fontId="0" fillId="0" borderId="14" xfId="0" applyBorder="1"/>
    <xf numFmtId="0" fontId="0" fillId="0" borderId="15" xfId="0" applyBorder="1"/>
    <xf numFmtId="0" fontId="0" fillId="0" borderId="16" xfId="0" applyBorder="1"/>
    <xf numFmtId="0" fontId="19" fillId="0" borderId="17" xfId="0" applyFont="1" applyBorder="1" applyAlignment="1">
      <alignment vertical="top" wrapText="1"/>
    </xf>
    <xf numFmtId="0" fontId="19" fillId="0" borderId="18" xfId="0" applyFont="1" applyBorder="1" applyAlignment="1">
      <alignment vertical="top" wrapText="1"/>
    </xf>
    <xf numFmtId="0" fontId="19" fillId="0" borderId="19" xfId="0" applyFont="1" applyBorder="1" applyAlignment="1">
      <alignment vertical="top" wrapText="1"/>
    </xf>
    <xf numFmtId="0" fontId="19" fillId="0" borderId="20" xfId="0" applyFont="1" applyBorder="1" applyAlignment="1">
      <alignment vertical="top" wrapText="1"/>
    </xf>
    <xf numFmtId="0" fontId="12" fillId="0" borderId="0" xfId="0" applyFont="1"/>
    <xf numFmtId="0" fontId="0" fillId="12" borderId="11" xfId="0" applyFill="1" applyBorder="1"/>
    <xf numFmtId="0" fontId="2" fillId="23" borderId="0" xfId="0" applyFont="1" applyFill="1"/>
    <xf numFmtId="0" fontId="0" fillId="23" borderId="0" xfId="0" applyFill="1"/>
    <xf numFmtId="0" fontId="2" fillId="12" borderId="21" xfId="0" applyFont="1" applyFill="1" applyBorder="1" applyAlignment="1">
      <alignment horizontal="right"/>
    </xf>
    <xf numFmtId="0" fontId="0" fillId="12" borderId="22" xfId="0" applyFill="1" applyBorder="1"/>
    <xf numFmtId="0" fontId="0" fillId="12" borderId="21" xfId="0" applyFill="1" applyBorder="1"/>
    <xf numFmtId="0" fontId="5" fillId="12" borderId="21" xfId="0" applyFont="1" applyFill="1" applyBorder="1"/>
    <xf numFmtId="0" fontId="5" fillId="12" borderId="22" xfId="0" applyFont="1" applyFill="1" applyBorder="1"/>
    <xf numFmtId="0" fontId="5" fillId="12" borderId="23" xfId="0" applyFont="1" applyFill="1" applyBorder="1"/>
    <xf numFmtId="0" fontId="5" fillId="12" borderId="24" xfId="0" applyFont="1" applyFill="1" applyBorder="1"/>
    <xf numFmtId="0" fontId="5" fillId="12" borderId="25" xfId="0" applyFont="1" applyFill="1" applyBorder="1"/>
    <xf numFmtId="0" fontId="0" fillId="2" borderId="0" xfId="0" applyFill="1" applyBorder="1"/>
    <xf numFmtId="0" fontId="2" fillId="20" borderId="0" xfId="0" applyFont="1" applyFill="1"/>
    <xf numFmtId="0" fontId="0" fillId="12" borderId="34" xfId="0" applyFill="1" applyBorder="1" applyAlignment="1">
      <alignment horizontal="center"/>
    </xf>
    <xf numFmtId="0" fontId="0" fillId="12" borderId="34" xfId="0" applyFill="1" applyBorder="1"/>
    <xf numFmtId="0" fontId="0" fillId="14" borderId="35" xfId="0" applyFill="1" applyBorder="1" applyAlignment="1">
      <alignment horizontal="center"/>
    </xf>
    <xf numFmtId="0" fontId="0" fillId="12" borderId="36" xfId="0" applyFill="1" applyBorder="1" applyAlignment="1">
      <alignment horizontal="center"/>
    </xf>
    <xf numFmtId="0" fontId="0" fillId="13" borderId="36" xfId="0" applyFill="1" applyBorder="1" applyAlignment="1">
      <alignment horizontal="center"/>
    </xf>
    <xf numFmtId="0" fontId="0" fillId="13" borderId="34" xfId="0" applyFill="1" applyBorder="1" applyAlignment="1">
      <alignment horizontal="center"/>
    </xf>
    <xf numFmtId="0" fontId="0" fillId="13" borderId="34" xfId="0" applyFill="1" applyBorder="1"/>
    <xf numFmtId="0" fontId="0" fillId="2" borderId="37" xfId="0" applyFill="1" applyBorder="1"/>
    <xf numFmtId="0" fontId="0" fillId="2" borderId="38" xfId="0" applyFill="1" applyBorder="1" applyAlignment="1">
      <alignment horizontal="center"/>
    </xf>
    <xf numFmtId="0" fontId="0" fillId="2" borderId="38" xfId="0" applyFill="1" applyBorder="1"/>
    <xf numFmtId="0" fontId="2" fillId="20" borderId="39" xfId="0" applyFont="1" applyFill="1" applyBorder="1" applyAlignment="1">
      <alignment horizontal="center"/>
    </xf>
    <xf numFmtId="0" fontId="0" fillId="20" borderId="40" xfId="0" applyFill="1" applyBorder="1"/>
    <xf numFmtId="0" fontId="2" fillId="20" borderId="40" xfId="0" applyFont="1" applyFill="1" applyBorder="1" applyAlignment="1">
      <alignment horizontal="right"/>
    </xf>
    <xf numFmtId="0" fontId="5" fillId="20" borderId="40" xfId="0" applyFont="1" applyFill="1" applyBorder="1"/>
    <xf numFmtId="0" fontId="5" fillId="20" borderId="41" xfId="0" applyFont="1" applyFill="1" applyBorder="1"/>
    <xf numFmtId="0" fontId="0" fillId="20" borderId="42" xfId="0" applyFill="1" applyBorder="1"/>
    <xf numFmtId="0" fontId="5" fillId="20" borderId="43" xfId="0" applyFont="1" applyFill="1" applyBorder="1"/>
    <xf numFmtId="0" fontId="5" fillId="20" borderId="42" xfId="0" applyFont="1" applyFill="1" applyBorder="1"/>
    <xf numFmtId="0" fontId="5" fillId="20" borderId="44" xfId="0" applyFont="1" applyFill="1" applyBorder="1"/>
    <xf numFmtId="0" fontId="5" fillId="20" borderId="45" xfId="0" applyFont="1" applyFill="1" applyBorder="1"/>
    <xf numFmtId="0" fontId="5" fillId="20" borderId="46" xfId="0" applyFont="1" applyFill="1" applyBorder="1"/>
    <xf numFmtId="0" fontId="5" fillId="20" borderId="39" xfId="0" applyFont="1" applyFill="1" applyBorder="1"/>
    <xf numFmtId="0" fontId="0" fillId="20" borderId="41" xfId="0" applyFill="1" applyBorder="1"/>
    <xf numFmtId="0" fontId="0" fillId="20" borderId="43" xfId="0" applyFill="1" applyBorder="1"/>
    <xf numFmtId="0" fontId="7" fillId="20" borderId="43" xfId="0" applyFont="1" applyFill="1" applyBorder="1"/>
    <xf numFmtId="0" fontId="7" fillId="20" borderId="45" xfId="0" applyFont="1" applyFill="1" applyBorder="1"/>
    <xf numFmtId="0" fontId="7" fillId="20" borderId="45" xfId="0" applyFont="1" applyFill="1" applyBorder="1" applyAlignment="1">
      <alignment horizontal="right"/>
    </xf>
    <xf numFmtId="0" fontId="7" fillId="20" borderId="46" xfId="0" applyFont="1" applyFill="1" applyBorder="1"/>
    <xf numFmtId="0" fontId="14" fillId="0" borderId="0" xfId="0" applyFont="1"/>
    <xf numFmtId="0" fontId="7" fillId="0" borderId="26" xfId="0" applyFont="1" applyBorder="1"/>
    <xf numFmtId="0" fontId="7" fillId="0" borderId="27" xfId="0" applyFont="1" applyBorder="1"/>
    <xf numFmtId="0" fontId="7" fillId="0" borderId="28" xfId="0" applyFont="1" applyBorder="1"/>
    <xf numFmtId="0" fontId="7" fillId="0" borderId="29" xfId="0" applyFont="1" applyBorder="1"/>
    <xf numFmtId="9" fontId="7" fillId="0" borderId="0" xfId="1" applyFont="1" applyBorder="1"/>
    <xf numFmtId="164" fontId="7" fillId="0" borderId="0" xfId="0" applyNumberFormat="1" applyFont="1" applyBorder="1"/>
    <xf numFmtId="0" fontId="7" fillId="0" borderId="30" xfId="0" applyFont="1" applyBorder="1"/>
    <xf numFmtId="9" fontId="7" fillId="0" borderId="0" xfId="0" applyNumberFormat="1" applyFont="1" applyBorder="1"/>
    <xf numFmtId="0" fontId="7" fillId="2" borderId="0" xfId="0" applyFont="1" applyFill="1" applyBorder="1"/>
    <xf numFmtId="9" fontId="7" fillId="0" borderId="29" xfId="0" applyNumberFormat="1" applyFont="1" applyBorder="1"/>
    <xf numFmtId="2" fontId="7" fillId="0" borderId="0" xfId="0" applyNumberFormat="1" applyFont="1" applyBorder="1"/>
    <xf numFmtId="2" fontId="7" fillId="0" borderId="30" xfId="0" applyNumberFormat="1" applyFont="1" applyBorder="1"/>
    <xf numFmtId="164" fontId="7" fillId="2" borderId="0" xfId="0" applyNumberFormat="1" applyFont="1" applyFill="1" applyBorder="1"/>
    <xf numFmtId="0" fontId="7" fillId="0" borderId="31" xfId="0" applyFont="1" applyBorder="1"/>
    <xf numFmtId="0" fontId="7" fillId="0" borderId="32" xfId="0" applyFont="1" applyBorder="1"/>
    <xf numFmtId="0" fontId="7" fillId="0" borderId="33" xfId="0" applyFont="1" applyBorder="1"/>
    <xf numFmtId="2" fontId="7" fillId="2" borderId="0" xfId="0" applyNumberFormat="1" applyFont="1" applyFill="1" applyBorder="1"/>
    <xf numFmtId="0" fontId="2" fillId="0" borderId="47" xfId="0" applyFont="1" applyBorder="1" applyAlignment="1">
      <alignment horizontal="center" vertical="center" wrapText="1"/>
    </xf>
    <xf numFmtId="0" fontId="0" fillId="0" borderId="47" xfId="0" applyBorder="1" applyAlignment="1">
      <alignment vertical="center" wrapText="1"/>
    </xf>
    <xf numFmtId="0" fontId="0" fillId="12" borderId="48" xfId="0" applyFill="1" applyBorder="1" applyAlignment="1">
      <alignment horizontal="center"/>
    </xf>
    <xf numFmtId="0" fontId="2" fillId="23" borderId="0" xfId="0" applyFont="1" applyFill="1" applyAlignment="1">
      <alignment horizontal="center"/>
    </xf>
    <xf numFmtId="0" fontId="0" fillId="12" borderId="0" xfId="0" applyFill="1" applyAlignment="1">
      <alignment horizontal="center"/>
    </xf>
    <xf numFmtId="0" fontId="0" fillId="12" borderId="0" xfId="0" applyFill="1" applyBorder="1" applyAlignment="1">
      <alignment horizontal="center"/>
    </xf>
    <xf numFmtId="0" fontId="0" fillId="12" borderId="0" xfId="0" applyFill="1" applyBorder="1" applyAlignment="1">
      <alignment horizontal="center"/>
    </xf>
    <xf numFmtId="0" fontId="13" fillId="0" borderId="0" xfId="0" applyFont="1" applyBorder="1"/>
    <xf numFmtId="0" fontId="15" fillId="12" borderId="0" xfId="0" applyFont="1" applyFill="1" applyAlignment="1">
      <alignment horizontal="left"/>
    </xf>
    <xf numFmtId="0" fontId="0" fillId="2" borderId="10" xfId="0" applyFill="1" applyBorder="1" applyAlignment="1">
      <alignment horizontal="center" vertical="center"/>
    </xf>
    <xf numFmtId="0" fontId="0" fillId="12" borderId="0" xfId="0" applyFill="1" applyAlignment="1">
      <alignment vertical="center"/>
    </xf>
    <xf numFmtId="0" fontId="2" fillId="12" borderId="0" xfId="0" applyFont="1" applyFill="1" applyAlignment="1">
      <alignment horizontal="right" vertical="center"/>
    </xf>
    <xf numFmtId="0" fontId="0" fillId="12" borderId="0" xfId="0" applyFill="1" applyAlignment="1">
      <alignment horizontal="center" vertical="center"/>
    </xf>
    <xf numFmtId="0" fontId="2" fillId="12" borderId="0" xfId="0" applyFont="1" applyFill="1" applyBorder="1" applyAlignment="1">
      <alignment horizontal="right" vertical="center"/>
    </xf>
    <xf numFmtId="0" fontId="0" fillId="12" borderId="0" xfId="0" applyFill="1" applyAlignment="1">
      <alignment horizontal="right" vertical="center"/>
    </xf>
    <xf numFmtId="0" fontId="2" fillId="12" borderId="21" xfId="0" applyFont="1" applyFill="1" applyBorder="1" applyAlignment="1">
      <alignment horizontal="right" vertical="center"/>
    </xf>
    <xf numFmtId="0" fontId="0" fillId="12" borderId="22" xfId="0" applyFill="1" applyBorder="1" applyAlignment="1">
      <alignment vertical="center"/>
    </xf>
    <xf numFmtId="0" fontId="0" fillId="12" borderId="0" xfId="0" applyFill="1" applyBorder="1" applyAlignment="1">
      <alignment horizontal="center" vertical="center"/>
    </xf>
    <xf numFmtId="0" fontId="2" fillId="12" borderId="21" xfId="0" applyFont="1" applyFill="1" applyBorder="1" applyAlignment="1">
      <alignment vertical="center"/>
    </xf>
    <xf numFmtId="0" fontId="0" fillId="12" borderId="0" xfId="0" applyFill="1" applyBorder="1" applyAlignment="1">
      <alignment vertical="center"/>
    </xf>
    <xf numFmtId="0" fontId="0" fillId="11" borderId="0" xfId="0" applyFill="1" applyAlignment="1">
      <alignment vertical="center"/>
    </xf>
    <xf numFmtId="0" fontId="0" fillId="2" borderId="37" xfId="0" applyFill="1" applyBorder="1" applyAlignment="1">
      <alignment vertical="center"/>
    </xf>
    <xf numFmtId="0" fontId="0" fillId="2" borderId="0" xfId="0" applyFill="1" applyBorder="1" applyAlignment="1">
      <alignment vertical="center"/>
    </xf>
    <xf numFmtId="0" fontId="0" fillId="2" borderId="38" xfId="0" applyFill="1" applyBorder="1" applyAlignment="1">
      <alignment horizontal="center" vertical="center"/>
    </xf>
    <xf numFmtId="0" fontId="0" fillId="11" borderId="0" xfId="0" applyFill="1" applyAlignment="1">
      <alignment horizontal="center" vertical="center"/>
    </xf>
    <xf numFmtId="0" fontId="0" fillId="2" borderId="38" xfId="0" applyFill="1" applyBorder="1" applyAlignment="1">
      <alignment vertical="center"/>
    </xf>
    <xf numFmtId="0" fontId="2" fillId="11" borderId="0" xfId="0" applyFont="1" applyFill="1" applyAlignment="1">
      <alignment vertical="center"/>
    </xf>
    <xf numFmtId="2" fontId="0" fillId="2" borderId="38" xfId="0" applyNumberFormat="1" applyFill="1" applyBorder="1" applyAlignment="1">
      <alignment horizontal="center" vertical="center"/>
    </xf>
    <xf numFmtId="2" fontId="0" fillId="11" borderId="0" xfId="0" applyNumberFormat="1" applyFill="1" applyAlignment="1">
      <alignment horizontal="center" vertical="center"/>
    </xf>
    <xf numFmtId="0" fontId="5" fillId="11" borderId="0" xfId="0" applyFont="1" applyFill="1" applyAlignment="1">
      <alignment vertical="center"/>
    </xf>
    <xf numFmtId="0" fontId="16" fillId="2" borderId="10" xfId="0" applyFont="1" applyFill="1" applyBorder="1" applyAlignment="1">
      <alignment horizontal="center" vertical="center"/>
    </xf>
    <xf numFmtId="0" fontId="9" fillId="23" borderId="0" xfId="0" applyFont="1" applyFill="1" applyAlignment="1">
      <alignment horizontal="center"/>
    </xf>
    <xf numFmtId="0" fontId="0" fillId="13" borderId="48" xfId="0" applyFill="1" applyBorder="1" applyAlignment="1">
      <alignment horizontal="center"/>
    </xf>
    <xf numFmtId="0" fontId="0" fillId="13" borderId="49" xfId="0" applyFill="1" applyBorder="1" applyAlignment="1">
      <alignment horizontal="center"/>
    </xf>
    <xf numFmtId="164" fontId="16" fillId="12" borderId="35" xfId="0" applyNumberFormat="1" applyFont="1" applyFill="1" applyBorder="1" applyAlignment="1">
      <alignment horizontal="center" vertical="center"/>
    </xf>
    <xf numFmtId="0" fontId="16" fillId="12" borderId="0" xfId="0" applyFont="1" applyFill="1"/>
    <xf numFmtId="0" fontId="16" fillId="14" borderId="35" xfId="0" applyFont="1" applyFill="1" applyBorder="1" applyAlignment="1">
      <alignment horizontal="center" vertical="center"/>
    </xf>
    <xf numFmtId="0" fontId="22" fillId="12" borderId="0" xfId="0" applyFont="1" applyFill="1"/>
    <xf numFmtId="0" fontId="16" fillId="12" borderId="0" xfId="0" applyFont="1" applyFill="1" applyBorder="1" applyAlignment="1">
      <alignment horizontal="center"/>
    </xf>
    <xf numFmtId="2" fontId="16" fillId="12" borderId="35" xfId="0" applyNumberFormat="1" applyFont="1" applyFill="1" applyBorder="1" applyAlignment="1">
      <alignment horizontal="center" vertical="center"/>
    </xf>
    <xf numFmtId="2" fontId="16" fillId="13" borderId="35" xfId="0" applyNumberFormat="1" applyFont="1" applyFill="1" applyBorder="1" applyAlignment="1">
      <alignment horizontal="center" vertical="center"/>
    </xf>
    <xf numFmtId="0" fontId="16" fillId="12" borderId="0" xfId="0" applyFont="1" applyFill="1" applyAlignment="1">
      <alignment vertical="center"/>
    </xf>
    <xf numFmtId="164" fontId="16" fillId="13" borderId="35" xfId="0" applyNumberFormat="1" applyFont="1" applyFill="1" applyBorder="1" applyAlignment="1">
      <alignment horizontal="center" vertical="center"/>
    </xf>
    <xf numFmtId="164" fontId="16" fillId="13" borderId="47" xfId="0" applyNumberFormat="1" applyFont="1" applyFill="1" applyBorder="1" applyAlignment="1">
      <alignment horizontal="center" vertical="center"/>
    </xf>
    <xf numFmtId="1" fontId="16" fillId="12" borderId="35" xfId="0" applyNumberFormat="1" applyFont="1" applyFill="1" applyBorder="1" applyAlignment="1">
      <alignment horizontal="center" vertical="center"/>
    </xf>
    <xf numFmtId="0" fontId="12" fillId="2" borderId="10" xfId="0" applyFont="1" applyFill="1" applyBorder="1" applyAlignment="1">
      <alignment horizontal="center" vertical="center"/>
    </xf>
    <xf numFmtId="0" fontId="15" fillId="11" borderId="0" xfId="0" applyFont="1" applyFill="1" applyAlignment="1">
      <alignment horizontal="center"/>
    </xf>
    <xf numFmtId="0" fontId="16" fillId="13" borderId="0" xfId="0" applyFont="1" applyFill="1" applyAlignment="1">
      <alignment vertical="center"/>
    </xf>
    <xf numFmtId="0" fontId="0" fillId="12" borderId="50" xfId="0" applyFill="1" applyBorder="1" applyAlignment="1">
      <alignment horizontal="center"/>
    </xf>
    <xf numFmtId="0" fontId="0" fillId="13" borderId="50" xfId="0" applyFill="1" applyBorder="1" applyAlignment="1">
      <alignment horizontal="center"/>
    </xf>
    <xf numFmtId="0" fontId="0" fillId="2" borderId="37" xfId="0" applyFill="1" applyBorder="1" applyAlignment="1">
      <alignment horizontal="center" vertical="center"/>
    </xf>
    <xf numFmtId="0" fontId="0" fillId="2" borderId="0" xfId="0" applyFill="1" applyBorder="1" applyAlignment="1">
      <alignment horizontal="center" vertical="center"/>
    </xf>
    <xf numFmtId="0" fontId="0" fillId="2" borderId="37" xfId="0" quotePrefix="1" applyFill="1" applyBorder="1" applyAlignment="1">
      <alignment horizontal="center" vertical="center"/>
    </xf>
    <xf numFmtId="0" fontId="0" fillId="2" borderId="0" xfId="0" quotePrefix="1" applyFill="1" applyBorder="1" applyAlignment="1">
      <alignment horizontal="center" vertical="center"/>
    </xf>
    <xf numFmtId="0" fontId="2" fillId="12" borderId="0" xfId="0" applyFont="1" applyFill="1" applyBorder="1" applyAlignment="1">
      <alignment vertical="center"/>
    </xf>
    <xf numFmtId="0" fontId="0" fillId="0" borderId="0" xfId="0"/>
    <xf numFmtId="0" fontId="5" fillId="0" borderId="0" xfId="0" applyFont="1"/>
    <xf numFmtId="0" fontId="5" fillId="0" borderId="0" xfId="0" applyFont="1" applyBorder="1"/>
    <xf numFmtId="0" fontId="5" fillId="0" borderId="9" xfId="0" applyFont="1" applyBorder="1"/>
    <xf numFmtId="0" fontId="0" fillId="12" borderId="0" xfId="0" applyFill="1"/>
    <xf numFmtId="0" fontId="3" fillId="12" borderId="0" xfId="0" applyFont="1" applyFill="1" applyAlignment="1">
      <alignment horizontal="left"/>
    </xf>
    <xf numFmtId="0" fontId="2" fillId="12" borderId="0" xfId="0" applyFont="1" applyFill="1" applyBorder="1" applyAlignment="1">
      <alignment horizontal="right"/>
    </xf>
    <xf numFmtId="0" fontId="0" fillId="12" borderId="0" xfId="0" applyFill="1" applyBorder="1"/>
    <xf numFmtId="0" fontId="5" fillId="12" borderId="0" xfId="0" applyFont="1" applyFill="1" applyBorder="1"/>
    <xf numFmtId="0" fontId="5" fillId="12" borderId="0" xfId="0" applyFont="1" applyFill="1"/>
    <xf numFmtId="0" fontId="0" fillId="13" borderId="0" xfId="0" applyFill="1"/>
    <xf numFmtId="0" fontId="0" fillId="12" borderId="0" xfId="0" applyFill="1" applyAlignment="1">
      <alignment horizontal="right"/>
    </xf>
    <xf numFmtId="0" fontId="0" fillId="12" borderId="0" xfId="0" applyFill="1" applyBorder="1" applyAlignment="1">
      <alignment horizontal="center"/>
    </xf>
    <xf numFmtId="0" fontId="2" fillId="23" borderId="0" xfId="0" applyFont="1" applyFill="1"/>
    <xf numFmtId="0" fontId="0" fillId="23" borderId="0" xfId="0" applyFill="1"/>
    <xf numFmtId="0" fontId="2" fillId="12" borderId="21" xfId="0" applyFont="1" applyFill="1" applyBorder="1" applyAlignment="1">
      <alignment horizontal="right"/>
    </xf>
    <xf numFmtId="0" fontId="0" fillId="12" borderId="22" xfId="0" applyFill="1" applyBorder="1"/>
    <xf numFmtId="0" fontId="5" fillId="12" borderId="24" xfId="0" applyFont="1" applyFill="1" applyBorder="1"/>
    <xf numFmtId="0" fontId="0" fillId="13" borderId="36" xfId="0" applyFill="1" applyBorder="1" applyAlignment="1">
      <alignment horizontal="center"/>
    </xf>
    <xf numFmtId="0" fontId="0" fillId="13" borderId="34" xfId="0" applyFill="1" applyBorder="1" applyAlignment="1">
      <alignment horizontal="center"/>
    </xf>
    <xf numFmtId="0" fontId="0" fillId="13" borderId="34" xfId="0" applyFill="1" applyBorder="1"/>
    <xf numFmtId="0" fontId="0" fillId="0" borderId="0" xfId="0" applyFill="1" applyBorder="1" applyAlignment="1"/>
    <xf numFmtId="0" fontId="0" fillId="0" borderId="0" xfId="0" applyFill="1" applyBorder="1" applyAlignment="1">
      <alignment horizontal="center"/>
    </xf>
    <xf numFmtId="0" fontId="0" fillId="0" borderId="0" xfId="0" applyFill="1" applyBorder="1"/>
    <xf numFmtId="0" fontId="0" fillId="0" borderId="0" xfId="0" quotePrefix="1" applyFill="1" applyBorder="1" applyAlignment="1">
      <alignment horizontal="center"/>
    </xf>
    <xf numFmtId="0" fontId="3" fillId="0" borderId="0" xfId="0" applyFont="1" applyFill="1" applyBorder="1" applyAlignment="1">
      <alignment horizontal="center"/>
    </xf>
    <xf numFmtId="0" fontId="2" fillId="0" borderId="0" xfId="0" applyFont="1" applyFill="1" applyBorder="1"/>
    <xf numFmtId="0" fontId="2" fillId="23" borderId="0" xfId="0" applyFont="1" applyFill="1" applyAlignment="1">
      <alignment horizontal="center"/>
    </xf>
    <xf numFmtId="0" fontId="0" fillId="12" borderId="35" xfId="0" applyFont="1" applyFill="1" applyBorder="1" applyAlignment="1">
      <alignment horizontal="center" vertical="center"/>
    </xf>
    <xf numFmtId="0" fontId="0" fillId="12" borderId="0" xfId="0" applyFont="1" applyFill="1" applyBorder="1" applyAlignment="1">
      <alignment horizontal="center" vertical="center"/>
    </xf>
    <xf numFmtId="0" fontId="8" fillId="0" borderId="0" xfId="0" applyFont="1"/>
    <xf numFmtId="164" fontId="0" fillId="0" borderId="67" xfId="0" applyNumberFormat="1" applyBorder="1" applyAlignment="1">
      <alignment horizontal="center"/>
    </xf>
    <xf numFmtId="0" fontId="2" fillId="0" borderId="69" xfId="0" applyFont="1" applyBorder="1"/>
    <xf numFmtId="0" fontId="2" fillId="0" borderId="70" xfId="0" applyFont="1" applyBorder="1" applyAlignment="1">
      <alignment horizontal="center"/>
    </xf>
    <xf numFmtId="0" fontId="2" fillId="0" borderId="70" xfId="0" applyFont="1" applyFill="1" applyBorder="1" applyAlignment="1">
      <alignment horizontal="center"/>
    </xf>
    <xf numFmtId="0" fontId="2" fillId="0" borderId="71" xfId="0" applyFont="1" applyFill="1" applyBorder="1" applyAlignment="1">
      <alignment horizontal="center"/>
    </xf>
    <xf numFmtId="0" fontId="0" fillId="0" borderId="72" xfId="0" applyBorder="1"/>
    <xf numFmtId="164" fontId="0" fillId="0" borderId="73" xfId="0" applyNumberFormat="1" applyBorder="1" applyAlignment="1">
      <alignment horizontal="center"/>
    </xf>
    <xf numFmtId="0" fontId="16" fillId="2" borderId="75" xfId="0" applyFont="1" applyFill="1" applyBorder="1" applyAlignment="1">
      <alignment horizontal="center" vertical="center"/>
    </xf>
    <xf numFmtId="0" fontId="16" fillId="2" borderId="77" xfId="0" applyFont="1" applyFill="1" applyBorder="1" applyAlignment="1">
      <alignment horizontal="center" vertical="center"/>
    </xf>
    <xf numFmtId="0" fontId="16" fillId="2" borderId="78" xfId="0" applyFont="1" applyFill="1" applyBorder="1" applyAlignment="1">
      <alignment horizontal="center" vertical="center"/>
    </xf>
    <xf numFmtId="0" fontId="0" fillId="13" borderId="0" xfId="0" applyFill="1" applyAlignment="1">
      <alignment horizontal="center"/>
    </xf>
    <xf numFmtId="0" fontId="0" fillId="20" borderId="0" xfId="0" applyFill="1" applyBorder="1" applyAlignment="1">
      <alignment vertical="top"/>
    </xf>
    <xf numFmtId="0" fontId="0" fillId="20" borderId="0" xfId="0" applyFill="1" applyBorder="1" applyAlignment="1">
      <alignment horizontal="right" vertical="top"/>
    </xf>
    <xf numFmtId="0" fontId="7" fillId="0" borderId="0" xfId="0" applyFont="1" applyBorder="1" applyAlignment="1">
      <alignment vertical="top"/>
    </xf>
    <xf numFmtId="0" fontId="9" fillId="23" borderId="0" xfId="0" applyFont="1" applyFill="1" applyAlignment="1">
      <alignment vertical="center"/>
    </xf>
    <xf numFmtId="0" fontId="0" fillId="13" borderId="0" xfId="0" applyFill="1" applyBorder="1" applyAlignment="1">
      <alignment horizontal="center"/>
    </xf>
    <xf numFmtId="0" fontId="0" fillId="13" borderId="34" xfId="0" quotePrefix="1" applyFill="1" applyBorder="1" applyAlignment="1">
      <alignment horizontal="center"/>
    </xf>
    <xf numFmtId="0" fontId="0" fillId="13" borderId="49" xfId="0" quotePrefix="1" applyFill="1" applyBorder="1" applyAlignment="1">
      <alignment horizontal="center"/>
    </xf>
    <xf numFmtId="0" fontId="2" fillId="0" borderId="26" xfId="0" applyFont="1"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25" fillId="13" borderId="0" xfId="0" applyFont="1" applyFill="1"/>
    <xf numFmtId="0" fontId="0" fillId="2" borderId="37" xfId="0" applyFill="1" applyBorder="1" applyAlignment="1">
      <alignment horizontal="left" vertical="center"/>
    </xf>
    <xf numFmtId="0" fontId="0" fillId="11" borderId="0" xfId="0" applyFill="1" applyAlignment="1">
      <alignment horizontal="left" vertical="center"/>
    </xf>
    <xf numFmtId="0" fontId="0" fillId="2" borderId="37" xfId="0" applyFill="1" applyBorder="1" applyAlignment="1">
      <alignment horizontal="right" vertical="center"/>
    </xf>
    <xf numFmtId="0" fontId="0" fillId="22" borderId="12" xfId="0" applyFill="1" applyBorder="1" applyAlignment="1" applyProtection="1">
      <alignment horizontal="center"/>
    </xf>
    <xf numFmtId="0" fontId="0" fillId="22" borderId="68" xfId="0" applyFill="1" applyBorder="1" applyAlignment="1" applyProtection="1">
      <alignment horizontal="center"/>
    </xf>
    <xf numFmtId="0" fontId="0" fillId="21" borderId="0" xfId="0" applyFill="1" applyProtection="1"/>
    <xf numFmtId="0" fontId="0" fillId="24" borderId="0" xfId="0" applyFill="1" applyProtection="1"/>
    <xf numFmtId="0" fontId="5" fillId="16" borderId="0" xfId="0" applyFont="1" applyFill="1" applyBorder="1" applyProtection="1"/>
    <xf numFmtId="0" fontId="0" fillId="16" borderId="0" xfId="0" applyFill="1" applyProtection="1"/>
    <xf numFmtId="0" fontId="0" fillId="19" borderId="0" xfId="0" applyFill="1" applyProtection="1"/>
    <xf numFmtId="0" fontId="0" fillId="0" borderId="0" xfId="0" applyProtection="1"/>
    <xf numFmtId="0" fontId="15" fillId="21" borderId="0" xfId="0" applyFont="1" applyFill="1" applyProtection="1"/>
    <xf numFmtId="0" fontId="3" fillId="18" borderId="0" xfId="0" applyFont="1" applyFill="1" applyAlignment="1" applyProtection="1">
      <alignment horizontal="right"/>
    </xf>
    <xf numFmtId="0" fontId="0" fillId="18" borderId="0" xfId="0" applyFill="1" applyProtection="1"/>
    <xf numFmtId="0" fontId="3" fillId="17" borderId="0" xfId="0" applyFont="1" applyFill="1" applyAlignment="1" applyProtection="1">
      <alignment horizontal="right"/>
    </xf>
    <xf numFmtId="0" fontId="0" fillId="17" borderId="0" xfId="0" applyFill="1" applyProtection="1"/>
    <xf numFmtId="0" fontId="3" fillId="0" borderId="0" xfId="0" applyFont="1" applyAlignment="1" applyProtection="1">
      <alignment horizontal="right"/>
    </xf>
    <xf numFmtId="0" fontId="3" fillId="0" borderId="0" xfId="0" applyFont="1" applyAlignment="1" applyProtection="1">
      <alignment horizontal="left"/>
    </xf>
    <xf numFmtId="0" fontId="3" fillId="16" borderId="0" xfId="0" applyFont="1" applyFill="1" applyProtection="1"/>
    <xf numFmtId="0" fontId="3" fillId="19" borderId="0" xfId="0" applyFont="1" applyFill="1" applyAlignment="1" applyProtection="1">
      <alignment horizontal="right"/>
    </xf>
    <xf numFmtId="0" fontId="3" fillId="21" borderId="0" xfId="0" applyFont="1" applyFill="1" applyProtection="1"/>
    <xf numFmtId="0" fontId="2" fillId="18" borderId="0" xfId="0" applyFont="1" applyFill="1" applyProtection="1"/>
    <xf numFmtId="0" fontId="2" fillId="17" borderId="0" xfId="0" applyFont="1" applyFill="1" applyProtection="1"/>
    <xf numFmtId="0" fontId="2" fillId="0" borderId="0" xfId="0" applyFont="1" applyProtection="1"/>
    <xf numFmtId="0" fontId="2" fillId="16" borderId="0" xfId="0" applyFont="1" applyFill="1" applyProtection="1"/>
    <xf numFmtId="164" fontId="0" fillId="21" borderId="0" xfId="0" applyNumberFormat="1" applyFill="1" applyProtection="1"/>
    <xf numFmtId="9" fontId="0" fillId="0" borderId="0" xfId="1" applyFont="1" applyProtection="1"/>
    <xf numFmtId="0" fontId="24" fillId="16" borderId="0" xfId="0" applyFont="1" applyFill="1" applyBorder="1" applyProtection="1"/>
    <xf numFmtId="0" fontId="11" fillId="16" borderId="0" xfId="0" applyFont="1" applyFill="1" applyProtection="1"/>
    <xf numFmtId="0" fontId="0" fillId="21" borderId="51" xfId="0" applyFill="1" applyBorder="1" applyProtection="1"/>
    <xf numFmtId="0" fontId="0" fillId="21" borderId="52" xfId="0" applyFill="1" applyBorder="1" applyProtection="1"/>
    <xf numFmtId="0" fontId="0" fillId="21" borderId="53" xfId="0" applyFill="1" applyBorder="1" applyProtection="1"/>
    <xf numFmtId="0" fontId="5" fillId="21" borderId="0" xfId="0" applyFont="1" applyFill="1" applyProtection="1"/>
    <xf numFmtId="0" fontId="5" fillId="21" borderId="0" xfId="0" applyFont="1" applyFill="1" applyAlignment="1" applyProtection="1">
      <alignment horizontal="right"/>
    </xf>
    <xf numFmtId="0" fontId="5" fillId="18" borderId="0" xfId="0" applyFont="1" applyFill="1" applyProtection="1"/>
    <xf numFmtId="0" fontId="5" fillId="18" borderId="0" xfId="0" applyFont="1" applyFill="1" applyAlignment="1" applyProtection="1">
      <alignment horizontal="right"/>
    </xf>
    <xf numFmtId="2" fontId="5" fillId="18" borderId="0" xfId="0" applyNumberFormat="1" applyFont="1" applyFill="1" applyProtection="1"/>
    <xf numFmtId="0" fontId="5" fillId="17" borderId="0" xfId="0" applyFont="1" applyFill="1" applyProtection="1"/>
    <xf numFmtId="0" fontId="5" fillId="17" borderId="0" xfId="0" applyFont="1" applyFill="1" applyAlignment="1" applyProtection="1">
      <alignment horizontal="right"/>
    </xf>
    <xf numFmtId="0" fontId="0" fillId="21" borderId="54" xfId="0" applyFill="1" applyBorder="1" applyProtection="1"/>
    <xf numFmtId="0" fontId="9" fillId="21" borderId="0" xfId="0" applyFont="1" applyFill="1" applyBorder="1" applyProtection="1"/>
    <xf numFmtId="0" fontId="0" fillId="21" borderId="0" xfId="0" applyFill="1" applyBorder="1" applyProtection="1"/>
    <xf numFmtId="0" fontId="0" fillId="21" borderId="55" xfId="0" applyFill="1" applyBorder="1" applyProtection="1"/>
    <xf numFmtId="0" fontId="9" fillId="21" borderId="0" xfId="0" applyFont="1" applyFill="1" applyAlignment="1" applyProtection="1">
      <alignment horizontal="right"/>
    </xf>
    <xf numFmtId="0" fontId="2" fillId="19" borderId="0" xfId="0" applyFont="1" applyFill="1" applyProtection="1"/>
    <xf numFmtId="166" fontId="0" fillId="21" borderId="0" xfId="0" applyNumberFormat="1" applyFill="1" applyAlignment="1" applyProtection="1">
      <alignment horizontal="right"/>
    </xf>
    <xf numFmtId="165" fontId="0" fillId="18" borderId="0" xfId="0" applyNumberFormat="1" applyFill="1" applyProtection="1"/>
    <xf numFmtId="0" fontId="0" fillId="18" borderId="0" xfId="0" applyFill="1" applyAlignment="1" applyProtection="1">
      <alignment horizontal="right"/>
    </xf>
    <xf numFmtId="0" fontId="0" fillId="15" borderId="62" xfId="0" applyFill="1" applyBorder="1" applyProtection="1"/>
    <xf numFmtId="0" fontId="0" fillId="15" borderId="0" xfId="0" applyFill="1" applyBorder="1" applyProtection="1"/>
    <xf numFmtId="0" fontId="0" fillId="15" borderId="63" xfId="0" applyFill="1" applyBorder="1" applyProtection="1"/>
    <xf numFmtId="0" fontId="11" fillId="19" borderId="0" xfId="0" applyFont="1" applyFill="1" applyProtection="1"/>
    <xf numFmtId="0" fontId="2" fillId="21" borderId="0" xfId="0" applyFont="1" applyFill="1" applyBorder="1" applyProtection="1"/>
    <xf numFmtId="2" fontId="0" fillId="18" borderId="0" xfId="0" applyNumberFormat="1" applyFill="1" applyProtection="1"/>
    <xf numFmtId="2" fontId="0" fillId="17" borderId="0" xfId="0" applyNumberFormat="1" applyFill="1" applyProtection="1"/>
    <xf numFmtId="0" fontId="0" fillId="16" borderId="62" xfId="0" applyFill="1" applyBorder="1" applyProtection="1"/>
    <xf numFmtId="0" fontId="0" fillId="16" borderId="0" xfId="0" applyFill="1" applyBorder="1" applyProtection="1"/>
    <xf numFmtId="0" fontId="0" fillId="16" borderId="63" xfId="0" applyFill="1" applyBorder="1" applyProtection="1"/>
    <xf numFmtId="0" fontId="0" fillId="2" borderId="10" xfId="0" applyFill="1" applyBorder="1" applyAlignment="1" applyProtection="1">
      <alignment horizontal="center"/>
    </xf>
    <xf numFmtId="0" fontId="2" fillId="16" borderId="62" xfId="0" applyFont="1" applyFill="1" applyBorder="1" applyProtection="1"/>
    <xf numFmtId="0" fontId="2" fillId="16" borderId="0" xfId="0" applyFont="1" applyFill="1" applyBorder="1" applyProtection="1"/>
    <xf numFmtId="0" fontId="2" fillId="19" borderId="0" xfId="0" applyFont="1" applyFill="1" applyAlignment="1" applyProtection="1">
      <alignment horizontal="center"/>
    </xf>
    <xf numFmtId="164" fontId="0" fillId="21" borderId="0" xfId="0" applyNumberFormat="1" applyFill="1" applyBorder="1" applyProtection="1"/>
    <xf numFmtId="2" fontId="0" fillId="21" borderId="0" xfId="0" applyNumberFormat="1" applyFill="1" applyProtection="1"/>
    <xf numFmtId="164" fontId="0" fillId="17" borderId="0" xfId="0" applyNumberFormat="1" applyFill="1" applyProtection="1"/>
    <xf numFmtId="164" fontId="0" fillId="0" borderId="0" xfId="0" applyNumberFormat="1" applyFill="1" applyProtection="1"/>
    <xf numFmtId="0" fontId="0" fillId="0" borderId="0" xfId="0" applyFill="1" applyProtection="1"/>
    <xf numFmtId="164" fontId="5" fillId="0" borderId="0" xfId="0" applyNumberFormat="1" applyFont="1" applyProtection="1"/>
    <xf numFmtId="2" fontId="5" fillId="0" borderId="0" xfId="0" applyNumberFormat="1" applyFont="1" applyProtection="1"/>
    <xf numFmtId="2" fontId="0" fillId="16" borderId="0" xfId="0" applyNumberFormat="1" applyFill="1" applyBorder="1" applyProtection="1"/>
    <xf numFmtId="164" fontId="0" fillId="18" borderId="0" xfId="0" applyNumberFormat="1" applyFill="1" applyProtection="1"/>
    <xf numFmtId="1" fontId="5" fillId="0" borderId="0" xfId="0" applyNumberFormat="1" applyFont="1" applyProtection="1"/>
    <xf numFmtId="0" fontId="0" fillId="19" borderId="0" xfId="0" applyFill="1" applyBorder="1" applyProtection="1"/>
    <xf numFmtId="1" fontId="0" fillId="2" borderId="10" xfId="0" applyNumberFormat="1" applyFill="1" applyBorder="1" applyAlignment="1" applyProtection="1">
      <alignment horizontal="center"/>
    </xf>
    <xf numFmtId="164" fontId="0" fillId="0" borderId="0" xfId="0" applyNumberFormat="1" applyProtection="1"/>
    <xf numFmtId="2" fontId="0" fillId="19" borderId="0" xfId="0" applyNumberFormat="1" applyFill="1" applyProtection="1"/>
    <xf numFmtId="164" fontId="0" fillId="16" borderId="0" xfId="0" applyNumberFormat="1" applyFill="1" applyBorder="1" applyProtection="1"/>
    <xf numFmtId="2" fontId="2" fillId="16" borderId="0" xfId="0" applyNumberFormat="1" applyFont="1" applyFill="1" applyBorder="1" applyProtection="1"/>
    <xf numFmtId="0" fontId="2" fillId="16" borderId="62" xfId="0" applyFont="1" applyFill="1" applyBorder="1" applyAlignment="1" applyProtection="1">
      <alignment horizontal="left"/>
    </xf>
    <xf numFmtId="0" fontId="2" fillId="16" borderId="0" xfId="0" applyFont="1" applyFill="1" applyBorder="1" applyAlignment="1" applyProtection="1">
      <alignment horizontal="left"/>
    </xf>
    <xf numFmtId="164" fontId="2" fillId="21" borderId="0" xfId="0" applyNumberFormat="1" applyFont="1" applyFill="1" applyBorder="1" applyProtection="1"/>
    <xf numFmtId="0" fontId="2" fillId="21" borderId="55" xfId="0" applyFont="1" applyFill="1" applyBorder="1" applyProtection="1"/>
    <xf numFmtId="0" fontId="2" fillId="21" borderId="0" xfId="0" applyFont="1" applyFill="1" applyProtection="1"/>
    <xf numFmtId="164" fontId="2" fillId="21" borderId="0" xfId="0" applyNumberFormat="1" applyFont="1" applyFill="1" applyProtection="1"/>
    <xf numFmtId="164" fontId="2" fillId="18" borderId="0" xfId="0" applyNumberFormat="1" applyFont="1" applyFill="1" applyProtection="1"/>
    <xf numFmtId="164" fontId="2" fillId="17" borderId="0" xfId="0" applyNumberFormat="1" applyFont="1" applyFill="1" applyProtection="1"/>
    <xf numFmtId="0" fontId="2" fillId="0" borderId="0" xfId="0" applyFont="1" applyFill="1" applyProtection="1"/>
    <xf numFmtId="164" fontId="2" fillId="16" borderId="0" xfId="0" applyNumberFormat="1" applyFont="1" applyFill="1" applyBorder="1" applyProtection="1"/>
    <xf numFmtId="0" fontId="2" fillId="16" borderId="63" xfId="0" applyFont="1" applyFill="1" applyBorder="1" applyProtection="1"/>
    <xf numFmtId="164" fontId="5" fillId="21" borderId="0" xfId="0" applyNumberFormat="1" applyFont="1" applyFill="1" applyBorder="1" applyProtection="1"/>
    <xf numFmtId="0" fontId="5" fillId="21" borderId="0" xfId="0" applyFont="1" applyFill="1" applyBorder="1" applyProtection="1"/>
    <xf numFmtId="0" fontId="5" fillId="21" borderId="55" xfId="0" applyFont="1" applyFill="1" applyBorder="1" applyProtection="1"/>
    <xf numFmtId="164" fontId="5" fillId="21" borderId="0" xfId="0" applyNumberFormat="1" applyFont="1" applyFill="1" applyProtection="1"/>
    <xf numFmtId="164" fontId="5" fillId="17" borderId="0" xfId="0" applyNumberFormat="1" applyFont="1" applyFill="1" applyProtection="1"/>
    <xf numFmtId="164" fontId="5" fillId="0" borderId="0" xfId="0" applyNumberFormat="1" applyFont="1" applyFill="1" applyProtection="1"/>
    <xf numFmtId="0" fontId="5" fillId="0" borderId="0" xfId="0" applyFont="1" applyFill="1" applyProtection="1"/>
    <xf numFmtId="2" fontId="0" fillId="0" borderId="0" xfId="0" applyNumberFormat="1" applyProtection="1"/>
    <xf numFmtId="0" fontId="5" fillId="16" borderId="63" xfId="0" applyFont="1" applyFill="1" applyBorder="1" applyProtection="1"/>
    <xf numFmtId="0" fontId="5" fillId="21" borderId="54" xfId="0" applyFont="1" applyFill="1" applyBorder="1" applyProtection="1"/>
    <xf numFmtId="2" fontId="5" fillId="21" borderId="0" xfId="0" applyNumberFormat="1" applyFont="1" applyFill="1" applyBorder="1" applyProtection="1"/>
    <xf numFmtId="2" fontId="5" fillId="21" borderId="0" xfId="0" applyNumberFormat="1" applyFont="1" applyFill="1" applyProtection="1"/>
    <xf numFmtId="2" fontId="5" fillId="17" borderId="0" xfId="0" applyNumberFormat="1" applyFont="1" applyFill="1" applyProtection="1"/>
    <xf numFmtId="0" fontId="5" fillId="0" borderId="0" xfId="0" applyFont="1" applyProtection="1"/>
    <xf numFmtId="2" fontId="5" fillId="0" borderId="0" xfId="0" applyNumberFormat="1" applyFont="1" applyFill="1" applyProtection="1"/>
    <xf numFmtId="0" fontId="5" fillId="16" borderId="62" xfId="0" applyFont="1" applyFill="1" applyBorder="1" applyProtection="1"/>
    <xf numFmtId="2" fontId="5" fillId="16" borderId="0" xfId="0" applyNumberFormat="1" applyFont="1" applyFill="1" applyBorder="1" applyProtection="1"/>
    <xf numFmtId="0" fontId="5" fillId="19" borderId="0" xfId="0" applyFont="1" applyFill="1" applyProtection="1"/>
    <xf numFmtId="0" fontId="5" fillId="19" borderId="0" xfId="0" applyFont="1" applyFill="1" applyBorder="1" applyProtection="1"/>
    <xf numFmtId="0" fontId="5" fillId="21" borderId="56" xfId="0" applyFont="1" applyFill="1" applyBorder="1" applyProtection="1"/>
    <xf numFmtId="0" fontId="5" fillId="21" borderId="57" xfId="0" applyFont="1" applyFill="1" applyBorder="1" applyProtection="1"/>
    <xf numFmtId="2" fontId="5" fillId="21" borderId="57" xfId="0" applyNumberFormat="1" applyFont="1" applyFill="1" applyBorder="1" applyProtection="1"/>
    <xf numFmtId="0" fontId="5" fillId="21" borderId="58" xfId="0" applyFont="1" applyFill="1" applyBorder="1" applyProtection="1"/>
    <xf numFmtId="0" fontId="5" fillId="16" borderId="64" xfId="0" applyFont="1" applyFill="1" applyBorder="1" applyProtection="1"/>
    <xf numFmtId="0" fontId="5" fillId="16" borderId="65" xfId="0" applyFont="1" applyFill="1" applyBorder="1" applyProtection="1"/>
    <xf numFmtId="2" fontId="5" fillId="16" borderId="65" xfId="0" applyNumberFormat="1" applyFont="1" applyFill="1" applyBorder="1" applyProtection="1"/>
    <xf numFmtId="0" fontId="5" fillId="16" borderId="66" xfId="0" applyFont="1" applyFill="1" applyBorder="1" applyProtection="1"/>
    <xf numFmtId="0" fontId="13" fillId="21" borderId="0" xfId="0" applyFont="1" applyFill="1" applyProtection="1"/>
    <xf numFmtId="0" fontId="13" fillId="21" borderId="0" xfId="0" applyFont="1" applyFill="1" applyAlignment="1" applyProtection="1">
      <alignment horizontal="center"/>
    </xf>
    <xf numFmtId="0" fontId="5" fillId="0" borderId="9" xfId="0" applyFont="1" applyBorder="1" applyProtection="1"/>
    <xf numFmtId="2" fontId="5" fillId="0" borderId="9" xfId="0" applyNumberFormat="1" applyFont="1" applyBorder="1" applyProtection="1"/>
    <xf numFmtId="2" fontId="7" fillId="0" borderId="9" xfId="0" applyNumberFormat="1" applyFont="1" applyBorder="1" applyProtection="1"/>
    <xf numFmtId="0" fontId="7" fillId="0" borderId="9" xfId="0" applyFont="1" applyBorder="1" applyProtection="1"/>
    <xf numFmtId="0" fontId="13" fillId="0" borderId="0" xfId="0" applyFont="1" applyBorder="1" applyProtection="1"/>
    <xf numFmtId="0" fontId="5" fillId="0" borderId="0" xfId="0" applyFont="1" applyBorder="1" applyProtection="1"/>
    <xf numFmtId="0" fontId="7" fillId="0" borderId="0" xfId="0" applyFont="1" applyProtection="1"/>
    <xf numFmtId="2" fontId="5" fillId="0" borderId="0" xfId="0" applyNumberFormat="1" applyFont="1" applyBorder="1" applyProtection="1"/>
    <xf numFmtId="0" fontId="7" fillId="0" borderId="0" xfId="0" applyFont="1" applyBorder="1" applyProtection="1"/>
    <xf numFmtId="2" fontId="5" fillId="5" borderId="0" xfId="0" applyNumberFormat="1" applyFont="1" applyFill="1" applyBorder="1" applyProtection="1"/>
    <xf numFmtId="0" fontId="13" fillId="0" borderId="0" xfId="0" applyFont="1" applyProtection="1"/>
    <xf numFmtId="2" fontId="5" fillId="7" borderId="0" xfId="0" applyNumberFormat="1" applyFont="1" applyFill="1" applyProtection="1"/>
    <xf numFmtId="2" fontId="5" fillId="6" borderId="0" xfId="0" applyNumberFormat="1" applyFont="1" applyFill="1" applyBorder="1" applyProtection="1"/>
    <xf numFmtId="2" fontId="5" fillId="8" borderId="0" xfId="0" applyNumberFormat="1" applyFont="1" applyFill="1" applyProtection="1"/>
    <xf numFmtId="2" fontId="5" fillId="9" borderId="0" xfId="0" applyNumberFormat="1" applyFont="1" applyFill="1" applyBorder="1" applyProtection="1"/>
    <xf numFmtId="0" fontId="2" fillId="0" borderId="0" xfId="0" applyFont="1" applyAlignment="1" applyProtection="1">
      <alignment horizontal="center" vertical="center" wrapText="1"/>
    </xf>
    <xf numFmtId="0" fontId="0" fillId="0" borderId="0" xfId="0" applyAlignment="1" applyProtection="1">
      <alignment vertical="center" wrapText="1"/>
    </xf>
    <xf numFmtId="0" fontId="2" fillId="3" borderId="0" xfId="0" applyFont="1" applyFill="1" applyBorder="1" applyAlignment="1" applyProtection="1">
      <alignment vertical="center" wrapText="1"/>
    </xf>
    <xf numFmtId="0" fontId="0" fillId="0" borderId="0" xfId="0" applyBorder="1" applyAlignment="1" applyProtection="1">
      <alignment vertical="center" wrapText="1"/>
    </xf>
    <xf numFmtId="0" fontId="0" fillId="0" borderId="0" xfId="0" applyBorder="1" applyProtection="1"/>
    <xf numFmtId="0" fontId="0" fillId="0" borderId="51" xfId="0" applyBorder="1" applyProtection="1"/>
    <xf numFmtId="0" fontId="0" fillId="0" borderId="52" xfId="0" applyBorder="1" applyProtection="1"/>
    <xf numFmtId="0" fontId="12" fillId="0" borderId="52" xfId="0" applyFont="1" applyBorder="1" applyProtection="1"/>
    <xf numFmtId="0" fontId="16" fillId="0" borderId="52" xfId="0" applyFont="1" applyBorder="1" applyAlignment="1" applyProtection="1">
      <alignment horizontal="right"/>
    </xf>
    <xf numFmtId="0" fontId="16" fillId="22" borderId="79" xfId="0" applyFont="1" applyFill="1" applyBorder="1" applyAlignment="1" applyProtection="1">
      <alignment horizontal="center"/>
    </xf>
    <xf numFmtId="0" fontId="12" fillId="0" borderId="53" xfId="0" applyFont="1" applyBorder="1" applyProtection="1"/>
    <xf numFmtId="0" fontId="0" fillId="0" borderId="56" xfId="0" applyBorder="1" applyProtection="1"/>
    <xf numFmtId="0" fontId="0" fillId="0" borderId="57" xfId="0" applyBorder="1" applyProtection="1"/>
    <xf numFmtId="0" fontId="8" fillId="0" borderId="57" xfId="0" applyFont="1" applyBorder="1" applyProtection="1"/>
    <xf numFmtId="0" fontId="16" fillId="0" borderId="57" xfId="0" applyFont="1" applyBorder="1" applyAlignment="1" applyProtection="1">
      <alignment horizontal="right"/>
    </xf>
    <xf numFmtId="0" fontId="16" fillId="0" borderId="57" xfId="0" applyFont="1" applyBorder="1" applyAlignment="1" applyProtection="1">
      <alignment horizontal="center"/>
    </xf>
    <xf numFmtId="0" fontId="12" fillId="0" borderId="58" xfId="0" applyFont="1" applyBorder="1" applyProtection="1"/>
    <xf numFmtId="164" fontId="7" fillId="25" borderId="0" xfId="0" applyNumberFormat="1" applyFont="1" applyFill="1" applyBorder="1"/>
    <xf numFmtId="0" fontId="0" fillId="26" borderId="0" xfId="0" applyFill="1" applyBorder="1"/>
    <xf numFmtId="0" fontId="0" fillId="26" borderId="0" xfId="0" applyFill="1"/>
    <xf numFmtId="0" fontId="15" fillId="26" borderId="0" xfId="0" applyFont="1" applyFill="1" applyBorder="1"/>
    <xf numFmtId="0" fontId="8" fillId="26" borderId="0" xfId="0" applyFont="1" applyFill="1" applyBorder="1"/>
    <xf numFmtId="0" fontId="0" fillId="26" borderId="0" xfId="0" applyFill="1" applyBorder="1" applyAlignment="1">
      <alignment horizontal="center"/>
    </xf>
    <xf numFmtId="0" fontId="0" fillId="26" borderId="0" xfId="0" applyFill="1" applyBorder="1" applyAlignment="1">
      <alignment horizontal="right"/>
    </xf>
    <xf numFmtId="0" fontId="0" fillId="26" borderId="0" xfId="0" applyFill="1" applyBorder="1" applyAlignment="1">
      <alignment vertical="top"/>
    </xf>
    <xf numFmtId="0" fontId="0" fillId="26" borderId="0" xfId="0" applyFill="1" applyBorder="1" applyAlignment="1">
      <alignment horizontal="right" vertical="top"/>
    </xf>
    <xf numFmtId="0" fontId="9" fillId="26" borderId="0" xfId="0" applyFont="1" applyFill="1" applyBorder="1"/>
    <xf numFmtId="0" fontId="5" fillId="26" borderId="0" xfId="0" applyFont="1" applyFill="1" applyBorder="1"/>
    <xf numFmtId="0" fontId="5" fillId="26" borderId="39" xfId="0" applyFont="1" applyFill="1" applyBorder="1"/>
    <xf numFmtId="0" fontId="5" fillId="26" borderId="40" xfId="0" applyFont="1" applyFill="1" applyBorder="1"/>
    <xf numFmtId="0" fontId="2" fillId="26" borderId="40" xfId="0" applyFont="1" applyFill="1" applyBorder="1" applyAlignment="1">
      <alignment horizontal="right"/>
    </xf>
    <xf numFmtId="0" fontId="0" fillId="26" borderId="40" xfId="0" applyFill="1" applyBorder="1"/>
    <xf numFmtId="0" fontId="0" fillId="26" borderId="41" xfId="0" applyFill="1" applyBorder="1"/>
    <xf numFmtId="0" fontId="2" fillId="26" borderId="39" xfId="0" applyFont="1" applyFill="1" applyBorder="1" applyAlignment="1">
      <alignment horizontal="center"/>
    </xf>
    <xf numFmtId="0" fontId="5" fillId="26" borderId="41" xfId="0" applyFont="1" applyFill="1" applyBorder="1"/>
    <xf numFmtId="0" fontId="5" fillId="26" borderId="42" xfId="0" applyFont="1" applyFill="1" applyBorder="1"/>
    <xf numFmtId="2" fontId="0" fillId="26" borderId="0" xfId="0" applyNumberFormat="1" applyFill="1" applyBorder="1"/>
    <xf numFmtId="0" fontId="0" fillId="26" borderId="43" xfId="0" applyFill="1" applyBorder="1"/>
    <xf numFmtId="0" fontId="0" fillId="26" borderId="42" xfId="0" applyFill="1" applyBorder="1"/>
    <xf numFmtId="0" fontId="5" fillId="26" borderId="43" xfId="0" applyFont="1" applyFill="1" applyBorder="1"/>
    <xf numFmtId="0" fontId="7" fillId="26" borderId="0" xfId="0" applyFont="1" applyFill="1" applyBorder="1" applyAlignment="1">
      <alignment horizontal="right"/>
    </xf>
    <xf numFmtId="0" fontId="7" fillId="26" borderId="0" xfId="0" applyFont="1" applyFill="1" applyBorder="1"/>
    <xf numFmtId="0" fontId="7" fillId="26" borderId="43" xfId="0" applyFont="1" applyFill="1" applyBorder="1"/>
    <xf numFmtId="0" fontId="5" fillId="26" borderId="44" xfId="0" applyFont="1" applyFill="1" applyBorder="1"/>
    <xf numFmtId="0" fontId="5" fillId="26" borderId="45" xfId="0" applyFont="1" applyFill="1" applyBorder="1"/>
    <xf numFmtId="0" fontId="7" fillId="26" borderId="45" xfId="0" applyFont="1" applyFill="1" applyBorder="1"/>
    <xf numFmtId="0" fontId="7" fillId="26" borderId="45" xfId="0" applyFont="1" applyFill="1" applyBorder="1" applyAlignment="1">
      <alignment horizontal="right"/>
    </xf>
    <xf numFmtId="0" fontId="7" fillId="26" borderId="46" xfId="0" applyFont="1" applyFill="1" applyBorder="1"/>
    <xf numFmtId="0" fontId="5" fillId="26" borderId="46" xfId="0" applyFont="1" applyFill="1" applyBorder="1"/>
    <xf numFmtId="0" fontId="2" fillId="26" borderId="0" xfId="0" applyFont="1" applyFill="1"/>
    <xf numFmtId="0" fontId="2" fillId="26" borderId="0" xfId="0" applyFont="1" applyFill="1" applyAlignment="1">
      <alignment horizontal="center" vertical="center" wrapText="1"/>
    </xf>
    <xf numFmtId="0" fontId="0" fillId="26" borderId="0" xfId="0" applyFill="1" applyBorder="1" applyAlignment="1"/>
    <xf numFmtId="0" fontId="15" fillId="26" borderId="0" xfId="0" applyFont="1" applyFill="1" applyBorder="1" applyAlignment="1"/>
    <xf numFmtId="0" fontId="0" fillId="0" borderId="0" xfId="0" applyAlignment="1"/>
    <xf numFmtId="0" fontId="0" fillId="27" borderId="0" xfId="0" applyFill="1" applyBorder="1"/>
    <xf numFmtId="0" fontId="0" fillId="27" borderId="0" xfId="0" applyFill="1"/>
    <xf numFmtId="0" fontId="0" fillId="27" borderId="0" xfId="0" applyFill="1" applyAlignment="1"/>
    <xf numFmtId="0" fontId="0" fillId="27" borderId="0" xfId="0" applyFill="1" applyAlignment="1">
      <alignment horizontal="right"/>
    </xf>
    <xf numFmtId="0" fontId="0" fillId="27" borderId="0" xfId="0" applyFont="1" applyFill="1"/>
    <xf numFmtId="0" fontId="2" fillId="27" borderId="0" xfId="0" applyFont="1" applyFill="1"/>
    <xf numFmtId="0" fontId="2" fillId="27" borderId="0" xfId="0" applyFont="1" applyFill="1" applyAlignment="1">
      <alignment horizontal="center"/>
    </xf>
    <xf numFmtId="0" fontId="0" fillId="27" borderId="0" xfId="0" applyFill="1" applyAlignment="1">
      <alignment horizontal="center"/>
    </xf>
    <xf numFmtId="9" fontId="0" fillId="27" borderId="0" xfId="1" applyFont="1" applyFill="1" applyAlignment="1">
      <alignment horizontal="center"/>
    </xf>
    <xf numFmtId="2" fontId="0" fillId="27" borderId="0" xfId="0" applyNumberFormat="1" applyFill="1" applyAlignment="1">
      <alignment horizontal="center"/>
    </xf>
    <xf numFmtId="2" fontId="2" fillId="27" borderId="0" xfId="0" applyNumberFormat="1" applyFont="1" applyFill="1" applyAlignment="1">
      <alignment horizontal="center"/>
    </xf>
    <xf numFmtId="0" fontId="16" fillId="27" borderId="0" xfId="0" applyFont="1" applyFill="1"/>
    <xf numFmtId="0" fontId="9" fillId="27" borderId="0" xfId="0" applyFont="1" applyFill="1" applyAlignment="1">
      <alignment horizontal="right"/>
    </xf>
    <xf numFmtId="2" fontId="9" fillId="27" borderId="0" xfId="0" applyNumberFormat="1" applyFont="1" applyFill="1" applyAlignment="1">
      <alignment horizontal="center"/>
    </xf>
    <xf numFmtId="166" fontId="0" fillId="27" borderId="0" xfId="0" applyNumberFormat="1" applyFill="1"/>
    <xf numFmtId="0" fontId="16" fillId="27" borderId="0" xfId="0" applyFont="1" applyFill="1" applyAlignment="1">
      <alignment horizontal="center"/>
    </xf>
    <xf numFmtId="0" fontId="2" fillId="27" borderId="0" xfId="0" applyFont="1" applyFill="1" applyAlignment="1">
      <alignment horizontal="left"/>
    </xf>
    <xf numFmtId="0" fontId="29" fillId="27" borderId="0" xfId="2" applyFont="1" applyFill="1"/>
    <xf numFmtId="0" fontId="3" fillId="27" borderId="0" xfId="0" applyFont="1" applyFill="1"/>
    <xf numFmtId="164" fontId="28" fillId="27" borderId="0" xfId="0" applyNumberFormat="1" applyFont="1" applyFill="1" applyAlignment="1">
      <alignment horizontal="right"/>
    </xf>
    <xf numFmtId="164" fontId="28" fillId="27" borderId="0" xfId="0" applyNumberFormat="1" applyFont="1" applyFill="1" applyAlignment="1">
      <alignment horizontal="left"/>
    </xf>
    <xf numFmtId="0" fontId="16" fillId="2" borderId="74" xfId="0" applyFont="1" applyFill="1" applyBorder="1" applyAlignment="1">
      <alignment horizontal="left" vertical="center"/>
    </xf>
    <xf numFmtId="0" fontId="16" fillId="2" borderId="76" xfId="0" applyFont="1" applyFill="1" applyBorder="1" applyAlignment="1">
      <alignment horizontal="left" vertical="center"/>
    </xf>
    <xf numFmtId="0" fontId="17" fillId="24" borderId="0" xfId="0" applyFont="1" applyFill="1" applyAlignment="1" applyProtection="1">
      <alignment horizontal="center"/>
    </xf>
    <xf numFmtId="0" fontId="2" fillId="15" borderId="62" xfId="0" applyFont="1" applyFill="1" applyBorder="1" applyAlignment="1" applyProtection="1">
      <alignment horizontal="center"/>
    </xf>
    <xf numFmtId="0" fontId="2" fillId="15" borderId="0" xfId="0" applyFont="1" applyFill="1" applyBorder="1" applyAlignment="1" applyProtection="1">
      <alignment horizontal="center"/>
    </xf>
    <xf numFmtId="0" fontId="2" fillId="15" borderId="63" xfId="0" applyFont="1" applyFill="1" applyBorder="1" applyAlignment="1" applyProtection="1">
      <alignment horizontal="center"/>
    </xf>
    <xf numFmtId="0" fontId="2" fillId="15" borderId="59" xfId="0" applyFont="1" applyFill="1" applyBorder="1" applyAlignment="1" applyProtection="1">
      <alignment horizontal="center"/>
    </xf>
    <xf numFmtId="0" fontId="2" fillId="15" borderId="60" xfId="0" applyFont="1" applyFill="1" applyBorder="1" applyAlignment="1" applyProtection="1">
      <alignment horizontal="center"/>
    </xf>
    <xf numFmtId="0" fontId="2" fillId="15" borderId="61" xfId="0" applyFont="1" applyFill="1" applyBorder="1" applyAlignment="1" applyProtection="1">
      <alignment horizontal="center"/>
    </xf>
    <xf numFmtId="0" fontId="0" fillId="12" borderId="0" xfId="0" applyFill="1" applyAlignment="1">
      <alignment horizontal="left"/>
    </xf>
    <xf numFmtId="0" fontId="0" fillId="12" borderId="0" xfId="0" applyFill="1" applyBorder="1" applyAlignment="1">
      <alignment horizontal="center"/>
    </xf>
    <xf numFmtId="0" fontId="0" fillId="12" borderId="0" xfId="0" applyFill="1" applyAlignment="1">
      <alignment horizontal="left" vertical="center"/>
    </xf>
    <xf numFmtId="0" fontId="0" fillId="2" borderId="37" xfId="0" applyFill="1" applyBorder="1" applyAlignment="1">
      <alignment horizontal="center"/>
    </xf>
    <xf numFmtId="0" fontId="0" fillId="2" borderId="38" xfId="0" applyFill="1" applyBorder="1" applyAlignment="1">
      <alignment horizontal="center"/>
    </xf>
    <xf numFmtId="0" fontId="0" fillId="11" borderId="0" xfId="0" applyFill="1" applyAlignment="1">
      <alignment horizontal="center"/>
    </xf>
  </cellXfs>
  <cellStyles count="3">
    <cellStyle name="Hyperlink" xfId="2" builtinId="8"/>
    <cellStyle name="Prozent" xfId="1" builtinId="5"/>
    <cellStyle name="Standard" xfId="0" builtinId="0"/>
  </cellStyles>
  <dxfs count="176">
    <dxf>
      <font>
        <strike val="0"/>
        <color theme="7" tint="0.39994506668294322"/>
      </font>
      <fill>
        <patternFill>
          <bgColor rgb="FFFF0000"/>
        </patternFill>
      </fill>
    </dxf>
    <dxf>
      <font>
        <strike val="0"/>
        <color theme="7" tint="0.39994506668294322"/>
      </font>
      <fill>
        <patternFill>
          <bgColor rgb="FFFF0000"/>
        </patternFill>
      </fill>
    </dxf>
    <dxf>
      <font>
        <strike val="0"/>
        <color theme="7" tint="0.39994506668294322"/>
      </font>
      <fill>
        <patternFill>
          <bgColor rgb="FFFF0000"/>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66FF66"/>
        </patternFill>
      </fill>
    </dxf>
    <dxf>
      <fill>
        <patternFill>
          <bgColor rgb="FFFF5050"/>
        </patternFill>
      </fill>
    </dxf>
    <dxf>
      <fill>
        <patternFill>
          <bgColor rgb="FFFFCC00"/>
        </patternFill>
      </fill>
    </dxf>
    <dxf>
      <fill>
        <patternFill>
          <bgColor rgb="FF66FF66"/>
        </patternFill>
      </fill>
    </dxf>
    <dxf>
      <fill>
        <patternFill>
          <bgColor rgb="FFFFCC00"/>
        </patternFill>
      </fill>
    </dxf>
    <dxf>
      <fill>
        <patternFill>
          <bgColor rgb="FFFF5050"/>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FFCC00"/>
        </patternFill>
      </fill>
    </dxf>
    <dxf>
      <fill>
        <patternFill>
          <bgColor rgb="FF66FF66"/>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7C80"/>
        </patternFill>
      </fill>
    </dxf>
    <dxf>
      <font>
        <color rgb="FFC00000"/>
      </font>
      <fill>
        <patternFill>
          <bgColor rgb="FFFF9999"/>
        </patternFill>
      </fill>
    </dxf>
    <dxf>
      <font>
        <b/>
        <i val="0"/>
        <strike val="0"/>
      </font>
      <fill>
        <patternFill>
          <bgColor theme="7" tint="0.59996337778862885"/>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color rgb="FFC00000"/>
      </font>
      <fill>
        <patternFill>
          <bgColor rgb="FFFF9999"/>
        </patternFill>
      </fill>
    </dxf>
    <dxf>
      <font>
        <b/>
        <i val="0"/>
        <strike val="0"/>
      </font>
      <fill>
        <patternFill>
          <bgColor theme="7" tint="0.59996337778862885"/>
        </patternFill>
      </fill>
    </dxf>
    <dxf>
      <font>
        <color rgb="FFC00000"/>
      </font>
      <fill>
        <patternFill>
          <bgColor rgb="FFFF7C80"/>
        </patternFill>
      </fill>
    </dxf>
    <dxf>
      <font>
        <b/>
        <i val="0"/>
        <strike val="0"/>
      </font>
      <fill>
        <patternFill>
          <bgColor theme="7" tint="0.59996337778862885"/>
        </patternFill>
      </fill>
    </dxf>
    <dxf>
      <font>
        <color rgb="FFC00000"/>
      </font>
      <fill>
        <patternFill>
          <bgColor rgb="FFFF9999"/>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b/>
        <i val="0"/>
        <strike val="0"/>
      </font>
      <fill>
        <patternFill>
          <bgColor theme="7" tint="0.59996337778862885"/>
        </patternFill>
      </fill>
    </dxf>
    <dxf>
      <font>
        <color auto="1"/>
      </font>
      <fill>
        <patternFill>
          <bgColor rgb="FF8DB284"/>
        </patternFill>
      </fill>
    </dxf>
    <dxf>
      <font>
        <color rgb="FFC00000"/>
      </font>
      <fill>
        <patternFill>
          <bgColor rgb="FFFF9999"/>
        </patternFill>
      </fill>
    </dxf>
    <dxf>
      <font>
        <strike val="0"/>
        <color theme="7" tint="0.39994506668294322"/>
      </font>
      <fill>
        <patternFill>
          <bgColor rgb="FFFF0000"/>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66FF66"/>
        </patternFill>
      </fill>
    </dxf>
    <dxf>
      <fill>
        <patternFill>
          <bgColor rgb="FFFF5050"/>
        </patternFill>
      </fill>
    </dxf>
    <dxf>
      <fill>
        <patternFill>
          <bgColor rgb="FFFFCC00"/>
        </patternFill>
      </fill>
    </dxf>
    <dxf>
      <fill>
        <patternFill>
          <bgColor rgb="FF66FF66"/>
        </patternFill>
      </fill>
    </dxf>
    <dxf>
      <fill>
        <patternFill>
          <bgColor rgb="FFFFCC00"/>
        </patternFill>
      </fill>
    </dxf>
    <dxf>
      <fill>
        <patternFill>
          <bgColor rgb="FFFF5050"/>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FFCC00"/>
        </patternFill>
      </fill>
    </dxf>
    <dxf>
      <fill>
        <patternFill>
          <bgColor rgb="FF66FF66"/>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color auto="1"/>
      </font>
      <fill>
        <patternFill>
          <bgColor rgb="FF8DB284"/>
        </patternFill>
      </fill>
    </dxf>
    <dxf>
      <font>
        <strike val="0"/>
        <color theme="7" tint="0.39994506668294322"/>
      </font>
      <fill>
        <patternFill>
          <bgColor rgb="FFFF0000"/>
        </patternFill>
      </fill>
    </dxf>
    <dxf>
      <font>
        <color auto="1"/>
      </font>
      <fill>
        <patternFill>
          <bgColor rgb="FF8DB284"/>
        </patternFill>
      </fill>
    </dxf>
    <dxf>
      <font>
        <color auto="1"/>
      </font>
      <fill>
        <patternFill>
          <bgColor rgb="FF8DB284"/>
        </patternFill>
      </fill>
    </dxf>
    <dxf>
      <font>
        <strike val="0"/>
        <color theme="7" tint="0.39994506668294322"/>
      </font>
      <fill>
        <patternFill>
          <bgColor rgb="FFFF0000"/>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ont>
        <color auto="1"/>
      </font>
      <fill>
        <patternFill>
          <bgColor rgb="FFCCFF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ont>
        <color auto="1"/>
      </font>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ont>
        <color auto="1"/>
      </font>
      <fill>
        <patternFill>
          <bgColor rgb="FFCCFFCC"/>
        </patternFill>
      </fill>
    </dxf>
    <dxf>
      <font>
        <color auto="1"/>
      </font>
      <fill>
        <patternFill>
          <bgColor rgb="FFCCFFCC"/>
        </patternFill>
      </fill>
    </dxf>
    <dxf>
      <font>
        <color auto="1"/>
      </font>
      <fill>
        <patternFill>
          <bgColor rgb="FFCCFFCC"/>
        </patternFill>
      </fill>
    </dxf>
    <dxf>
      <font>
        <color auto="1"/>
      </font>
      <fill>
        <patternFill>
          <bgColor rgb="FFCCFFCC"/>
        </patternFill>
      </fill>
    </dxf>
    <dxf>
      <fill>
        <patternFill>
          <bgColor rgb="FFFFCCCC"/>
        </patternFill>
      </fill>
    </dxf>
    <dxf>
      <fill>
        <patternFill>
          <bgColor rgb="FFCCFFCC"/>
        </patternFill>
      </fill>
    </dxf>
    <dxf>
      <font>
        <color auto="1"/>
      </font>
      <fill>
        <patternFill>
          <bgColor rgb="FFCCFFCC"/>
        </patternFill>
      </fill>
    </dxf>
    <dxf>
      <font>
        <color auto="1"/>
      </font>
      <fill>
        <patternFill>
          <bgColor rgb="FFCCFFCC"/>
        </patternFill>
      </fill>
    </dxf>
    <dxf>
      <fill>
        <patternFill>
          <bgColor rgb="FFFFCCCC"/>
        </patternFill>
      </fill>
    </dxf>
    <dxf>
      <font>
        <color auto="1"/>
      </font>
      <fill>
        <patternFill>
          <bgColor rgb="FFFFCCCC"/>
        </patternFill>
      </fill>
    </dxf>
    <dxf>
      <font>
        <color auto="1"/>
      </font>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FFCC00"/>
        </patternFill>
      </fill>
    </dxf>
    <dxf>
      <fill>
        <patternFill>
          <bgColor rgb="FF66FF66"/>
        </patternFill>
      </fill>
    </dxf>
    <dxf>
      <fill>
        <patternFill>
          <bgColor rgb="FFFF5050"/>
        </patternFill>
      </fill>
    </dxf>
    <dxf>
      <fill>
        <patternFill>
          <bgColor rgb="FF66FF66"/>
        </patternFill>
      </fill>
    </dxf>
    <dxf>
      <fill>
        <patternFill>
          <bgColor rgb="FFFF5050"/>
        </patternFill>
      </fill>
    </dxf>
    <dxf>
      <fill>
        <patternFill>
          <bgColor rgb="FFFFCC00"/>
        </patternFill>
      </fill>
    </dxf>
    <dxf>
      <fill>
        <patternFill>
          <bgColor rgb="FF66FF66"/>
        </patternFill>
      </fill>
    </dxf>
    <dxf>
      <fill>
        <patternFill>
          <bgColor rgb="FFFFCC00"/>
        </patternFill>
      </fill>
    </dxf>
    <dxf>
      <fill>
        <patternFill>
          <bgColor rgb="FFFF5050"/>
        </patternFill>
      </fill>
    </dxf>
    <dxf>
      <font>
        <color auto="1"/>
      </font>
      <fill>
        <patternFill>
          <bgColor rgb="FFFFCCCC"/>
        </patternFill>
      </fill>
    </dxf>
    <dxf>
      <font>
        <color auto="1"/>
      </font>
      <fill>
        <patternFill>
          <bgColor rgb="FFFFCCCC"/>
        </patternFill>
      </fill>
    </dxf>
    <dxf>
      <font>
        <color auto="1"/>
      </font>
      <fill>
        <patternFill>
          <bgColor rgb="FFCCFFCC"/>
        </patternFill>
      </fill>
    </dxf>
    <dxf>
      <font>
        <color auto="1"/>
      </font>
      <fill>
        <patternFill>
          <bgColor rgb="FFFFCCCC"/>
        </patternFill>
      </fill>
    </dxf>
    <dxf>
      <font>
        <color auto="1"/>
      </font>
      <fill>
        <patternFill>
          <bgColor rgb="FFFFCCCC"/>
        </patternFill>
      </fill>
    </dxf>
    <dxf>
      <font>
        <color auto="1"/>
      </font>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s>
  <tableStyles count="0" defaultTableStyle="TableStyleMedium2" defaultPivotStyle="PivotStyleLight16"/>
  <colors>
    <mruColors>
      <color rgb="FFFCF7E8"/>
      <color rgb="FFECCC70"/>
      <color rgb="FFEBE571"/>
      <color rgb="FFEAD372"/>
      <color rgb="FFFFFF33"/>
      <color rgb="FFFF481D"/>
      <color rgb="FFFF3300"/>
      <color rgb="FFFFFF66"/>
      <color rgb="FF99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doughnutChart>
        <c:varyColors val="1"/>
        <c:ser>
          <c:idx val="1"/>
          <c:order val="1"/>
          <c:tx>
            <c:strRef>
              <c:f>'Infos &amp; Hilfseinträge'!$AN$31</c:f>
              <c:strCache>
                <c:ptCount val="1"/>
                <c:pt idx="0">
                  <c:v>Segmente</c:v>
                </c:pt>
              </c:strCache>
            </c:strRef>
          </c:tx>
          <c:spPr>
            <a:ln>
              <a:noFill/>
            </a:ln>
          </c:spPr>
          <c:dPt>
            <c:idx val="0"/>
            <c:bubble3D val="0"/>
            <c:spPr>
              <a:solidFill>
                <a:srgbClr val="584300"/>
              </a:solidFill>
              <a:ln w="19050">
                <a:noFill/>
              </a:ln>
              <a:effectLst/>
            </c:spPr>
            <c:extLst xmlns:c16r2="http://schemas.microsoft.com/office/drawing/2015/06/chart">
              <c:ext xmlns:c16="http://schemas.microsoft.com/office/drawing/2014/chart" uri="{C3380CC4-5D6E-409C-BE32-E72D297353CC}">
                <c16:uniqueId val="{0000001C-93A3-4B0A-892D-CFE25EE916E5}"/>
              </c:ext>
            </c:extLst>
          </c:dPt>
          <c:dPt>
            <c:idx val="1"/>
            <c:bubble3D val="0"/>
            <c:spPr>
              <a:solidFill>
                <a:schemeClr val="accent4">
                  <a:lumMod val="50000"/>
                </a:schemeClr>
              </a:solidFill>
              <a:ln w="19050">
                <a:noFill/>
              </a:ln>
              <a:effectLst/>
            </c:spPr>
            <c:extLst xmlns:c16r2="http://schemas.microsoft.com/office/drawing/2015/06/chart">
              <c:ext xmlns:c16="http://schemas.microsoft.com/office/drawing/2014/chart" uri="{C3380CC4-5D6E-409C-BE32-E72D297353CC}">
                <c16:uniqueId val="{0000001E-93A3-4B0A-892D-CFE25EE916E5}"/>
              </c:ext>
            </c:extLst>
          </c:dPt>
          <c:dPt>
            <c:idx val="2"/>
            <c:bubble3D val="0"/>
            <c:spPr>
              <a:solidFill>
                <a:schemeClr val="accent4">
                  <a:lumMod val="75000"/>
                </a:schemeClr>
              </a:solidFill>
              <a:ln w="19050">
                <a:noFill/>
              </a:ln>
              <a:effectLst/>
            </c:spPr>
            <c:extLst xmlns:c16r2="http://schemas.microsoft.com/office/drawing/2015/06/chart">
              <c:ext xmlns:c16="http://schemas.microsoft.com/office/drawing/2014/chart" uri="{C3380CC4-5D6E-409C-BE32-E72D297353CC}">
                <c16:uniqueId val="{00000020-93A3-4B0A-892D-CFE25EE916E5}"/>
              </c:ext>
            </c:extLst>
          </c:dPt>
          <c:dPt>
            <c:idx val="3"/>
            <c:bubble3D val="0"/>
            <c:spPr>
              <a:solidFill>
                <a:srgbClr val="FABE00"/>
              </a:solidFill>
              <a:ln w="19050">
                <a:noFill/>
              </a:ln>
              <a:effectLst/>
            </c:spPr>
            <c:extLst xmlns:c16r2="http://schemas.microsoft.com/office/drawing/2015/06/chart">
              <c:ext xmlns:c16="http://schemas.microsoft.com/office/drawing/2014/chart" uri="{C3380CC4-5D6E-409C-BE32-E72D297353CC}">
                <c16:uniqueId val="{00000022-93A3-4B0A-892D-CFE25EE916E5}"/>
              </c:ext>
            </c:extLst>
          </c:dPt>
          <c:dPt>
            <c:idx val="4"/>
            <c:bubble3D val="0"/>
            <c:spPr>
              <a:solidFill>
                <a:schemeClr val="accent4">
                  <a:lumMod val="60000"/>
                  <a:lumOff val="40000"/>
                </a:schemeClr>
              </a:solidFill>
              <a:ln w="19050">
                <a:noFill/>
              </a:ln>
              <a:effectLst/>
            </c:spPr>
            <c:extLst xmlns:c16r2="http://schemas.microsoft.com/office/drawing/2015/06/chart">
              <c:ext xmlns:c16="http://schemas.microsoft.com/office/drawing/2014/chart" uri="{C3380CC4-5D6E-409C-BE32-E72D297353CC}">
                <c16:uniqueId val="{00000024-93A3-4B0A-892D-CFE25EE916E5}"/>
              </c:ext>
            </c:extLst>
          </c:dPt>
          <c:dPt>
            <c:idx val="5"/>
            <c:bubble3D val="0"/>
            <c:spPr>
              <a:solidFill>
                <a:schemeClr val="accent4">
                  <a:lumMod val="40000"/>
                  <a:lumOff val="60000"/>
                </a:schemeClr>
              </a:solidFill>
              <a:ln w="19050">
                <a:noFill/>
              </a:ln>
              <a:effectLst/>
            </c:spPr>
            <c:extLst xmlns:c16r2="http://schemas.microsoft.com/office/drawing/2015/06/chart">
              <c:ext xmlns:c16="http://schemas.microsoft.com/office/drawing/2014/chart" uri="{C3380CC4-5D6E-409C-BE32-E72D297353CC}">
                <c16:uniqueId val="{00000026-93A3-4B0A-892D-CFE25EE916E5}"/>
              </c:ext>
            </c:extLst>
          </c:dPt>
          <c:dPt>
            <c:idx val="6"/>
            <c:bubble3D val="0"/>
            <c:spPr>
              <a:solidFill>
                <a:schemeClr val="accent4">
                  <a:lumMod val="20000"/>
                  <a:lumOff val="80000"/>
                </a:schemeClr>
              </a:solidFill>
              <a:ln w="19050">
                <a:noFill/>
              </a:ln>
              <a:effectLst/>
            </c:spPr>
            <c:extLst xmlns:c16r2="http://schemas.microsoft.com/office/drawing/2015/06/chart">
              <c:ext xmlns:c16="http://schemas.microsoft.com/office/drawing/2014/chart" uri="{C3380CC4-5D6E-409C-BE32-E72D297353CC}">
                <c16:uniqueId val="{00000028-93A3-4B0A-892D-CFE25EE916E5}"/>
              </c:ext>
            </c:extLst>
          </c:dPt>
          <c:dPt>
            <c:idx val="7"/>
            <c:bubble3D val="0"/>
            <c:spPr>
              <a:solidFill>
                <a:srgbClr val="E0E9C9"/>
              </a:solidFill>
              <a:ln w="19050">
                <a:noFill/>
              </a:ln>
              <a:effectLst/>
            </c:spPr>
            <c:extLst xmlns:c16r2="http://schemas.microsoft.com/office/drawing/2015/06/chart">
              <c:ext xmlns:c16="http://schemas.microsoft.com/office/drawing/2014/chart" uri="{C3380CC4-5D6E-409C-BE32-E72D297353CC}">
                <c16:uniqueId val="{0000002A-93A3-4B0A-892D-CFE25EE916E5}"/>
              </c:ext>
            </c:extLst>
          </c:dPt>
          <c:dPt>
            <c:idx val="8"/>
            <c:bubble3D val="0"/>
            <c:spPr>
              <a:solidFill>
                <a:srgbClr val="CDE4BE"/>
              </a:solidFill>
              <a:ln w="19050">
                <a:noFill/>
              </a:ln>
              <a:effectLst/>
            </c:spPr>
            <c:extLst xmlns:c16r2="http://schemas.microsoft.com/office/drawing/2015/06/chart">
              <c:ext xmlns:c16="http://schemas.microsoft.com/office/drawing/2014/chart" uri="{C3380CC4-5D6E-409C-BE32-E72D297353CC}">
                <c16:uniqueId val="{0000002C-93A3-4B0A-892D-CFE25EE916E5}"/>
              </c:ext>
            </c:extLst>
          </c:dPt>
          <c:dPt>
            <c:idx val="9"/>
            <c:bubble3D val="0"/>
            <c:spPr>
              <a:solidFill>
                <a:schemeClr val="accent6">
                  <a:lumMod val="60000"/>
                  <a:lumOff val="40000"/>
                </a:schemeClr>
              </a:solidFill>
              <a:ln w="19050">
                <a:noFill/>
              </a:ln>
              <a:effectLst/>
            </c:spPr>
            <c:extLst xmlns:c16r2="http://schemas.microsoft.com/office/drawing/2015/06/chart">
              <c:ext xmlns:c16="http://schemas.microsoft.com/office/drawing/2014/chart" uri="{C3380CC4-5D6E-409C-BE32-E72D297353CC}">
                <c16:uniqueId val="{0000002E-93A3-4B0A-892D-CFE25EE916E5}"/>
              </c:ext>
            </c:extLst>
          </c:dPt>
          <c:dPt>
            <c:idx val="10"/>
            <c:bubble3D val="0"/>
            <c:spPr>
              <a:solidFill>
                <a:srgbClr val="87BF61"/>
              </a:solidFill>
              <a:ln w="19050">
                <a:noFill/>
              </a:ln>
              <a:effectLst/>
            </c:spPr>
            <c:extLst xmlns:c16r2="http://schemas.microsoft.com/office/drawing/2015/06/chart">
              <c:ext xmlns:c16="http://schemas.microsoft.com/office/drawing/2014/chart" uri="{C3380CC4-5D6E-409C-BE32-E72D297353CC}">
                <c16:uniqueId val="{00000030-93A3-4B0A-892D-CFE25EE916E5}"/>
              </c:ext>
            </c:extLst>
          </c:dPt>
          <c:dPt>
            <c:idx val="11"/>
            <c:bubble3D val="0"/>
            <c:spPr>
              <a:solidFill>
                <a:srgbClr val="517E32"/>
              </a:solidFill>
              <a:ln w="19050">
                <a:noFill/>
              </a:ln>
              <a:effectLst/>
            </c:spPr>
            <c:extLst xmlns:c16r2="http://schemas.microsoft.com/office/drawing/2015/06/chart">
              <c:ext xmlns:c16="http://schemas.microsoft.com/office/drawing/2014/chart" uri="{C3380CC4-5D6E-409C-BE32-E72D297353CC}">
                <c16:uniqueId val="{00000032-93A3-4B0A-892D-CFE25EE916E5}"/>
              </c:ext>
            </c:extLst>
          </c:dPt>
          <c:dPt>
            <c:idx val="12"/>
            <c:bubble3D val="0"/>
            <c:spPr>
              <a:solidFill>
                <a:schemeClr val="accent6">
                  <a:lumMod val="50000"/>
                </a:schemeClr>
              </a:solidFill>
              <a:ln w="19050">
                <a:noFill/>
              </a:ln>
              <a:effectLst/>
            </c:spPr>
            <c:extLst xmlns:c16r2="http://schemas.microsoft.com/office/drawing/2015/06/chart">
              <c:ext xmlns:c16="http://schemas.microsoft.com/office/drawing/2014/chart" uri="{C3380CC4-5D6E-409C-BE32-E72D297353CC}">
                <c16:uniqueId val="{00000034-93A3-4B0A-892D-CFE25EE916E5}"/>
              </c:ext>
            </c:extLst>
          </c:dPt>
          <c:dPt>
            <c:idx val="13"/>
            <c:bubble3D val="0"/>
            <c:spPr>
              <a:noFill/>
              <a:ln w="19050">
                <a:noFill/>
              </a:ln>
              <a:effectLst/>
            </c:spPr>
            <c:extLst xmlns:c16r2="http://schemas.microsoft.com/office/drawing/2015/06/chart">
              <c:ext xmlns:c16="http://schemas.microsoft.com/office/drawing/2014/chart" uri="{C3380CC4-5D6E-409C-BE32-E72D297353CC}">
                <c16:uniqueId val="{00000035-FD1A-4EC2-8E35-53BB8BF59754}"/>
              </c:ext>
            </c:extLst>
          </c:dPt>
          <c:dLbls>
            <c:dLbl>
              <c:idx val="0"/>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bg1"/>
                      </a:solidFill>
                      <a:latin typeface="+mn-lt"/>
                      <a:ea typeface="+mn-ea"/>
                      <a:cs typeface="+mn-cs"/>
                    </a:defRPr>
                  </a:pPr>
                  <a:endParaRPr lang="de-DE"/>
                </a:p>
              </c:txPr>
              <c:showLegendKey val="0"/>
              <c:showVal val="0"/>
              <c:showCatName val="1"/>
              <c:showSerName val="0"/>
              <c:showPercent val="0"/>
              <c:showBubbleSize val="0"/>
            </c:dLbl>
            <c:dLbl>
              <c:idx val="1"/>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accent4">
                          <a:lumMod val="20000"/>
                          <a:lumOff val="80000"/>
                        </a:schemeClr>
                      </a:solidFill>
                      <a:latin typeface="+mn-lt"/>
                      <a:ea typeface="+mn-ea"/>
                      <a:cs typeface="+mn-cs"/>
                    </a:defRPr>
                  </a:pPr>
                  <a:endParaRPr lang="de-DE"/>
                </a:p>
              </c:txPr>
              <c:showLegendKey val="0"/>
              <c:showVal val="0"/>
              <c:showCatName val="1"/>
              <c:showSerName val="0"/>
              <c:showPercent val="0"/>
              <c:showBubbleSize val="0"/>
            </c:dLbl>
            <c:dLbl>
              <c:idx val="7"/>
              <c:numFmt formatCode="General"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de-DE"/>
                </a:p>
              </c:txPr>
              <c:showLegendKey val="0"/>
              <c:showVal val="0"/>
              <c:showCatName val="1"/>
              <c:showSerName val="0"/>
              <c:showPercent val="0"/>
              <c:showBubbleSize val="0"/>
            </c:dLbl>
            <c:dLbl>
              <c:idx val="11"/>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accent4">
                          <a:lumMod val="20000"/>
                          <a:lumOff val="80000"/>
                        </a:schemeClr>
                      </a:solidFill>
                      <a:latin typeface="+mn-lt"/>
                      <a:ea typeface="+mn-ea"/>
                      <a:cs typeface="+mn-cs"/>
                    </a:defRPr>
                  </a:pPr>
                  <a:endParaRPr lang="de-DE"/>
                </a:p>
              </c:txPr>
              <c:showLegendKey val="0"/>
              <c:showVal val="0"/>
              <c:showCatName val="1"/>
              <c:showSerName val="0"/>
              <c:showPercent val="0"/>
              <c:showBubbleSize val="0"/>
            </c:dLbl>
            <c:dLbl>
              <c:idx val="12"/>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accent4">
                          <a:lumMod val="20000"/>
                          <a:lumOff val="80000"/>
                        </a:schemeClr>
                      </a:solidFill>
                      <a:latin typeface="+mn-lt"/>
                      <a:ea typeface="+mn-ea"/>
                      <a:cs typeface="+mn-cs"/>
                    </a:defRPr>
                  </a:pPr>
                  <a:endParaRPr lang="de-DE"/>
                </a:p>
              </c:txPr>
              <c:showLegendKey val="0"/>
              <c:showVal val="0"/>
              <c:showCatName val="1"/>
              <c:showSerName val="0"/>
              <c:showPercent val="0"/>
              <c:showBubbleSize val="0"/>
            </c:dLbl>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de-DE"/>
              </a:p>
            </c:txPr>
            <c:showLegendKey val="0"/>
            <c:showVal val="0"/>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15:layout/>
              </c:ext>
            </c:extLst>
          </c:dLbls>
          <c:cat>
            <c:numRef>
              <c:f>'Infos &amp; Hilfseinträge'!$AO$32:$AO$45</c:f>
              <c:numCache>
                <c:formatCode>0.00</c:formatCode>
                <c:ptCount val="14"/>
                <c:pt idx="0" formatCode="General">
                  <c:v>0.1</c:v>
                </c:pt>
                <c:pt idx="1">
                  <c:v>0.14677992676220694</c:v>
                </c:pt>
                <c:pt idx="2">
                  <c:v>0.21544346900318836</c:v>
                </c:pt>
                <c:pt idx="3">
                  <c:v>0.31622776601683794</c:v>
                </c:pt>
                <c:pt idx="4">
                  <c:v>0.46415888336127786</c:v>
                </c:pt>
                <c:pt idx="5">
                  <c:v>0.68129206905796125</c:v>
                </c:pt>
                <c:pt idx="6" formatCode="0.0">
                  <c:v>1</c:v>
                </c:pt>
                <c:pt idx="7" formatCode="0.0">
                  <c:v>1.4677992676220697</c:v>
                </c:pt>
                <c:pt idx="8" formatCode="0.0">
                  <c:v>2.1544346900318838</c:v>
                </c:pt>
                <c:pt idx="9" formatCode="0.0">
                  <c:v>3.1622776601683795</c:v>
                </c:pt>
                <c:pt idx="10" formatCode="0.0">
                  <c:v>4.6415888336127793</c:v>
                </c:pt>
                <c:pt idx="11" formatCode="0.0">
                  <c:v>6.812920690579614</c:v>
                </c:pt>
                <c:pt idx="12" formatCode="0.0">
                  <c:v>10</c:v>
                </c:pt>
              </c:numCache>
            </c:numRef>
          </c:cat>
          <c:val>
            <c:numRef>
              <c:f>'Infos &amp; Hilfseinträge'!$AN$32:$AN$45</c:f>
              <c:numCache>
                <c:formatCode>General</c:formatCode>
                <c:ptCount val="14"/>
                <c:pt idx="0">
                  <c:v>20</c:v>
                </c:pt>
                <c:pt idx="1">
                  <c:v>20</c:v>
                </c:pt>
                <c:pt idx="2">
                  <c:v>20</c:v>
                </c:pt>
                <c:pt idx="3">
                  <c:v>20</c:v>
                </c:pt>
                <c:pt idx="4">
                  <c:v>20</c:v>
                </c:pt>
                <c:pt idx="5">
                  <c:v>20</c:v>
                </c:pt>
                <c:pt idx="6">
                  <c:v>20</c:v>
                </c:pt>
                <c:pt idx="7">
                  <c:v>20</c:v>
                </c:pt>
                <c:pt idx="8">
                  <c:v>20</c:v>
                </c:pt>
                <c:pt idx="9">
                  <c:v>20</c:v>
                </c:pt>
                <c:pt idx="10">
                  <c:v>20</c:v>
                </c:pt>
                <c:pt idx="11">
                  <c:v>20</c:v>
                </c:pt>
                <c:pt idx="12">
                  <c:v>20</c:v>
                </c:pt>
                <c:pt idx="13">
                  <c:v>260</c:v>
                </c:pt>
              </c:numCache>
            </c:numRef>
          </c:val>
          <c:extLst xmlns:c16r2="http://schemas.microsoft.com/office/drawing/2015/06/chart">
            <c:ext xmlns:c16="http://schemas.microsoft.com/office/drawing/2014/chart" uri="{C3380CC4-5D6E-409C-BE32-E72D297353CC}">
              <c16:uniqueId val="{00000035-93A3-4B0A-892D-CFE25EE916E5}"/>
            </c:ext>
          </c:extLst>
        </c:ser>
        <c:dLbls>
          <c:showLegendKey val="0"/>
          <c:showVal val="1"/>
          <c:showCatName val="0"/>
          <c:showSerName val="0"/>
          <c:showPercent val="0"/>
          <c:showBubbleSize val="0"/>
          <c:showLeaderLines val="1"/>
        </c:dLbls>
        <c:firstSliceAng val="270"/>
        <c:holeSize val="70"/>
      </c:doughnutChart>
      <c:pieChart>
        <c:varyColors val="1"/>
        <c:ser>
          <c:idx val="0"/>
          <c:order val="0"/>
          <c:tx>
            <c:strRef>
              <c:f>'Infos &amp; Hilfseinträge'!$AM$31</c:f>
              <c:strCache>
                <c:ptCount val="1"/>
                <c:pt idx="0">
                  <c:v>Zeiger</c:v>
                </c:pt>
              </c:strCache>
            </c:strRef>
          </c:tx>
          <c:spPr>
            <a:noFill/>
            <a:ln w="38100">
              <a:noFill/>
            </a:ln>
            <a:effectLst/>
          </c:spPr>
          <c:dPt>
            <c:idx val="0"/>
            <c:bubble3D val="0"/>
            <c:extLst xmlns:c16r2="http://schemas.microsoft.com/office/drawing/2015/06/chart">
              <c:ext xmlns:c16="http://schemas.microsoft.com/office/drawing/2014/chart" uri="{C3380CC4-5D6E-409C-BE32-E72D297353CC}">
                <c16:uniqueId val="{00000001-93A3-4B0A-892D-CFE25EE916E5}"/>
              </c:ext>
            </c:extLst>
          </c:dPt>
          <c:dPt>
            <c:idx val="1"/>
            <c:bubble3D val="0"/>
            <c:spPr>
              <a:noFill/>
              <a:ln w="38100">
                <a:solidFill>
                  <a:schemeClr val="tx1"/>
                </a:solidFill>
              </a:ln>
              <a:effectLst/>
            </c:spPr>
            <c:extLst xmlns:c16r2="http://schemas.microsoft.com/office/drawing/2015/06/chart">
              <c:ext xmlns:c16="http://schemas.microsoft.com/office/drawing/2014/chart" uri="{C3380CC4-5D6E-409C-BE32-E72D297353CC}">
                <c16:uniqueId val="{00000003-93A3-4B0A-892D-CFE25EE916E5}"/>
              </c:ext>
            </c:extLst>
          </c:dPt>
          <c:dPt>
            <c:idx val="2"/>
            <c:bubble3D val="0"/>
            <c:extLst xmlns:c16r2="http://schemas.microsoft.com/office/drawing/2015/06/chart">
              <c:ext xmlns:c16="http://schemas.microsoft.com/office/drawing/2014/chart" uri="{C3380CC4-5D6E-409C-BE32-E72D297353CC}">
                <c16:uniqueId val="{00000005-93A3-4B0A-892D-CFE25EE916E5}"/>
              </c:ext>
            </c:extLst>
          </c:dPt>
          <c:dPt>
            <c:idx val="3"/>
            <c:bubble3D val="0"/>
            <c:extLst xmlns:c16r2="http://schemas.microsoft.com/office/drawing/2015/06/chart">
              <c:ext xmlns:c16="http://schemas.microsoft.com/office/drawing/2014/chart" uri="{C3380CC4-5D6E-409C-BE32-E72D297353CC}">
                <c16:uniqueId val="{00000007-93A3-4B0A-892D-CFE25EE916E5}"/>
              </c:ext>
            </c:extLst>
          </c:dPt>
          <c:dPt>
            <c:idx val="4"/>
            <c:bubble3D val="0"/>
            <c:extLst xmlns:c16r2="http://schemas.microsoft.com/office/drawing/2015/06/chart">
              <c:ext xmlns:c16="http://schemas.microsoft.com/office/drawing/2014/chart" uri="{C3380CC4-5D6E-409C-BE32-E72D297353CC}">
                <c16:uniqueId val="{00000009-93A3-4B0A-892D-CFE25EE916E5}"/>
              </c:ext>
            </c:extLst>
          </c:dPt>
          <c:dPt>
            <c:idx val="5"/>
            <c:bubble3D val="0"/>
            <c:extLst xmlns:c16r2="http://schemas.microsoft.com/office/drawing/2015/06/chart">
              <c:ext xmlns:c16="http://schemas.microsoft.com/office/drawing/2014/chart" uri="{C3380CC4-5D6E-409C-BE32-E72D297353CC}">
                <c16:uniqueId val="{0000000B-93A3-4B0A-892D-CFE25EE916E5}"/>
              </c:ext>
            </c:extLst>
          </c:dPt>
          <c:dPt>
            <c:idx val="6"/>
            <c:bubble3D val="0"/>
            <c:extLst xmlns:c16r2="http://schemas.microsoft.com/office/drawing/2015/06/chart">
              <c:ext xmlns:c16="http://schemas.microsoft.com/office/drawing/2014/chart" uri="{C3380CC4-5D6E-409C-BE32-E72D297353CC}">
                <c16:uniqueId val="{0000000D-93A3-4B0A-892D-CFE25EE916E5}"/>
              </c:ext>
            </c:extLst>
          </c:dPt>
          <c:dPt>
            <c:idx val="7"/>
            <c:bubble3D val="0"/>
            <c:extLst xmlns:c16r2="http://schemas.microsoft.com/office/drawing/2015/06/chart">
              <c:ext xmlns:c16="http://schemas.microsoft.com/office/drawing/2014/chart" uri="{C3380CC4-5D6E-409C-BE32-E72D297353CC}">
                <c16:uniqueId val="{0000000F-93A3-4B0A-892D-CFE25EE916E5}"/>
              </c:ext>
            </c:extLst>
          </c:dPt>
          <c:dPt>
            <c:idx val="8"/>
            <c:bubble3D val="0"/>
            <c:extLst xmlns:c16r2="http://schemas.microsoft.com/office/drawing/2015/06/chart">
              <c:ext xmlns:c16="http://schemas.microsoft.com/office/drawing/2014/chart" uri="{C3380CC4-5D6E-409C-BE32-E72D297353CC}">
                <c16:uniqueId val="{00000011-93A3-4B0A-892D-CFE25EE916E5}"/>
              </c:ext>
            </c:extLst>
          </c:dPt>
          <c:dPt>
            <c:idx val="9"/>
            <c:bubble3D val="0"/>
            <c:extLst xmlns:c16r2="http://schemas.microsoft.com/office/drawing/2015/06/chart">
              <c:ext xmlns:c16="http://schemas.microsoft.com/office/drawing/2014/chart" uri="{C3380CC4-5D6E-409C-BE32-E72D297353CC}">
                <c16:uniqueId val="{00000013-93A3-4B0A-892D-CFE25EE916E5}"/>
              </c:ext>
            </c:extLst>
          </c:dPt>
          <c:dPt>
            <c:idx val="10"/>
            <c:bubble3D val="0"/>
            <c:extLst xmlns:c16r2="http://schemas.microsoft.com/office/drawing/2015/06/chart">
              <c:ext xmlns:c16="http://schemas.microsoft.com/office/drawing/2014/chart" uri="{C3380CC4-5D6E-409C-BE32-E72D297353CC}">
                <c16:uniqueId val="{00000015-93A3-4B0A-892D-CFE25EE916E5}"/>
              </c:ext>
            </c:extLst>
          </c:dPt>
          <c:dPt>
            <c:idx val="11"/>
            <c:bubble3D val="0"/>
            <c:extLst xmlns:c16r2="http://schemas.microsoft.com/office/drawing/2015/06/chart">
              <c:ext xmlns:c16="http://schemas.microsoft.com/office/drawing/2014/chart" uri="{C3380CC4-5D6E-409C-BE32-E72D297353CC}">
                <c16:uniqueId val="{00000017-93A3-4B0A-892D-CFE25EE916E5}"/>
              </c:ext>
            </c:extLst>
          </c:dPt>
          <c:dPt>
            <c:idx val="12"/>
            <c:bubble3D val="0"/>
            <c:extLst xmlns:c16r2="http://schemas.microsoft.com/office/drawing/2015/06/chart">
              <c:ext xmlns:c16="http://schemas.microsoft.com/office/drawing/2014/chart" uri="{C3380CC4-5D6E-409C-BE32-E72D297353CC}">
                <c16:uniqueId val="{00000019-93A3-4B0A-892D-CFE25EE916E5}"/>
              </c:ext>
            </c:extLst>
          </c:dPt>
          <c:dLbls>
            <c:delete val="1"/>
          </c:dLbls>
          <c:val>
            <c:numRef>
              <c:f>'Infos &amp; Hilfseinträge'!$AM$32:$AM$44</c:f>
              <c:numCache>
                <c:formatCode>0%</c:formatCode>
                <c:ptCount val="13"/>
                <c:pt idx="0">
                  <c:v>1.1026426128236047</c:v>
                </c:pt>
                <c:pt idx="1">
                  <c:v>0</c:v>
                </c:pt>
                <c:pt idx="2">
                  <c:v>0.89735738717639535</c:v>
                </c:pt>
                <c:pt idx="3">
                  <c:v>2</c:v>
                </c:pt>
              </c:numCache>
            </c:numRef>
          </c:val>
          <c:extLst xmlns:c16r2="http://schemas.microsoft.com/office/drawing/2015/06/chart">
            <c:ext xmlns:c16="http://schemas.microsoft.com/office/drawing/2014/chart" uri="{C3380CC4-5D6E-409C-BE32-E72D297353CC}">
              <c16:uniqueId val="{0000001A-93A3-4B0A-892D-CFE25EE916E5}"/>
            </c:ext>
          </c:extLst>
        </c:ser>
        <c:dLbls>
          <c:showLegendKey val="0"/>
          <c:showVal val="1"/>
          <c:showCatName val="0"/>
          <c:showSerName val="0"/>
          <c:showPercent val="0"/>
          <c:showBubbleSize val="0"/>
          <c:showLeaderLines val="1"/>
        </c:dLbls>
        <c:firstSliceAng val="27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doughnutChart>
        <c:varyColors val="1"/>
        <c:ser>
          <c:idx val="1"/>
          <c:order val="1"/>
          <c:tx>
            <c:strRef>
              <c:f>'Infos &amp; Hilfseinträge'!$AN$31</c:f>
              <c:strCache>
                <c:ptCount val="1"/>
                <c:pt idx="0">
                  <c:v>Segmente</c:v>
                </c:pt>
              </c:strCache>
            </c:strRef>
          </c:tx>
          <c:spPr>
            <a:ln>
              <a:noFill/>
            </a:ln>
          </c:spPr>
          <c:dPt>
            <c:idx val="0"/>
            <c:bubble3D val="0"/>
            <c:spPr>
              <a:solidFill>
                <a:srgbClr val="FF3300"/>
              </a:solidFill>
              <a:ln w="19050">
                <a:noFill/>
              </a:ln>
              <a:effectLst/>
            </c:spPr>
            <c:extLst xmlns:c16r2="http://schemas.microsoft.com/office/drawing/2015/06/chart">
              <c:ext xmlns:c16="http://schemas.microsoft.com/office/drawing/2014/chart" uri="{C3380CC4-5D6E-409C-BE32-E72D297353CC}">
                <c16:uniqueId val="{0000001C-8C6B-4080-A5D3-BC129F25BEB7}"/>
              </c:ext>
            </c:extLst>
          </c:dPt>
          <c:dPt>
            <c:idx val="1"/>
            <c:bubble3D val="0"/>
            <c:spPr>
              <a:solidFill>
                <a:srgbClr val="FF6600"/>
              </a:solidFill>
              <a:ln w="19050">
                <a:noFill/>
              </a:ln>
              <a:effectLst/>
            </c:spPr>
            <c:extLst xmlns:c16r2="http://schemas.microsoft.com/office/drawing/2015/06/chart">
              <c:ext xmlns:c16="http://schemas.microsoft.com/office/drawing/2014/chart" uri="{C3380CC4-5D6E-409C-BE32-E72D297353CC}">
                <c16:uniqueId val="{0000001E-8C6B-4080-A5D3-BC129F25BEB7}"/>
              </c:ext>
            </c:extLst>
          </c:dPt>
          <c:dPt>
            <c:idx val="2"/>
            <c:bubble3D val="0"/>
            <c:spPr>
              <a:solidFill>
                <a:srgbClr val="FDD31F"/>
              </a:solidFill>
              <a:ln w="19050">
                <a:noFill/>
              </a:ln>
              <a:effectLst/>
            </c:spPr>
            <c:extLst xmlns:c16r2="http://schemas.microsoft.com/office/drawing/2015/06/chart">
              <c:ext xmlns:c16="http://schemas.microsoft.com/office/drawing/2014/chart" uri="{C3380CC4-5D6E-409C-BE32-E72D297353CC}">
                <c16:uniqueId val="{00000020-8C6B-4080-A5D3-BC129F25BEB7}"/>
              </c:ext>
            </c:extLst>
          </c:dPt>
          <c:dPt>
            <c:idx val="3"/>
            <c:bubble3D val="0"/>
            <c:spPr>
              <a:solidFill>
                <a:srgbClr val="FFFF43"/>
              </a:solidFill>
              <a:ln w="19050">
                <a:noFill/>
              </a:ln>
              <a:effectLst/>
            </c:spPr>
            <c:extLst xmlns:c16r2="http://schemas.microsoft.com/office/drawing/2015/06/chart">
              <c:ext xmlns:c16="http://schemas.microsoft.com/office/drawing/2014/chart" uri="{C3380CC4-5D6E-409C-BE32-E72D297353CC}">
                <c16:uniqueId val="{00000022-8C6B-4080-A5D3-BC129F25BEB7}"/>
              </c:ext>
            </c:extLst>
          </c:dPt>
          <c:dPt>
            <c:idx val="4"/>
            <c:bubble3D val="0"/>
            <c:spPr>
              <a:solidFill>
                <a:srgbClr val="C8FD45"/>
              </a:solidFill>
              <a:ln w="19050">
                <a:noFill/>
              </a:ln>
              <a:effectLst/>
            </c:spPr>
            <c:extLst xmlns:c16r2="http://schemas.microsoft.com/office/drawing/2015/06/chart">
              <c:ext xmlns:c16="http://schemas.microsoft.com/office/drawing/2014/chart" uri="{C3380CC4-5D6E-409C-BE32-E72D297353CC}">
                <c16:uniqueId val="{00000024-8C6B-4080-A5D3-BC129F25BEB7}"/>
              </c:ext>
            </c:extLst>
          </c:dPt>
          <c:dPt>
            <c:idx val="5"/>
            <c:bubble3D val="0"/>
            <c:spPr>
              <a:solidFill>
                <a:srgbClr val="9DFF43"/>
              </a:solidFill>
              <a:ln w="19050">
                <a:noFill/>
              </a:ln>
              <a:effectLst/>
            </c:spPr>
            <c:extLst xmlns:c16r2="http://schemas.microsoft.com/office/drawing/2015/06/chart">
              <c:ext xmlns:c16="http://schemas.microsoft.com/office/drawing/2014/chart" uri="{C3380CC4-5D6E-409C-BE32-E72D297353CC}">
                <c16:uniqueId val="{00000026-8C6B-4080-A5D3-BC129F25BEB7}"/>
              </c:ext>
            </c:extLst>
          </c:dPt>
          <c:dPt>
            <c:idx val="6"/>
            <c:bubble3D val="0"/>
            <c:spPr>
              <a:solidFill>
                <a:srgbClr val="66FF66"/>
              </a:solidFill>
              <a:ln w="19050">
                <a:noFill/>
              </a:ln>
              <a:effectLst/>
            </c:spPr>
            <c:extLst xmlns:c16r2="http://schemas.microsoft.com/office/drawing/2015/06/chart">
              <c:ext xmlns:c16="http://schemas.microsoft.com/office/drawing/2014/chart" uri="{C3380CC4-5D6E-409C-BE32-E72D297353CC}">
                <c16:uniqueId val="{00000028-8C6B-4080-A5D3-BC129F25BEB7}"/>
              </c:ext>
            </c:extLst>
          </c:dPt>
          <c:dPt>
            <c:idx val="7"/>
            <c:bubble3D val="0"/>
            <c:spPr>
              <a:solidFill>
                <a:srgbClr val="9DFF43"/>
              </a:solidFill>
              <a:ln w="19050">
                <a:noFill/>
              </a:ln>
              <a:effectLst/>
            </c:spPr>
            <c:extLst xmlns:c16r2="http://schemas.microsoft.com/office/drawing/2015/06/chart">
              <c:ext xmlns:c16="http://schemas.microsoft.com/office/drawing/2014/chart" uri="{C3380CC4-5D6E-409C-BE32-E72D297353CC}">
                <c16:uniqueId val="{0000002A-8C6B-4080-A5D3-BC129F25BEB7}"/>
              </c:ext>
            </c:extLst>
          </c:dPt>
          <c:dPt>
            <c:idx val="8"/>
            <c:bubble3D val="0"/>
            <c:spPr>
              <a:solidFill>
                <a:srgbClr val="C8FD45"/>
              </a:solidFill>
              <a:ln w="19050">
                <a:noFill/>
              </a:ln>
              <a:effectLst/>
            </c:spPr>
            <c:extLst xmlns:c16r2="http://schemas.microsoft.com/office/drawing/2015/06/chart">
              <c:ext xmlns:c16="http://schemas.microsoft.com/office/drawing/2014/chart" uri="{C3380CC4-5D6E-409C-BE32-E72D297353CC}">
                <c16:uniqueId val="{0000002C-8C6B-4080-A5D3-BC129F25BEB7}"/>
              </c:ext>
            </c:extLst>
          </c:dPt>
          <c:dPt>
            <c:idx val="9"/>
            <c:bubble3D val="0"/>
            <c:spPr>
              <a:solidFill>
                <a:srgbClr val="FFFF43"/>
              </a:solidFill>
              <a:ln w="19050">
                <a:noFill/>
              </a:ln>
              <a:effectLst/>
            </c:spPr>
            <c:extLst xmlns:c16r2="http://schemas.microsoft.com/office/drawing/2015/06/chart">
              <c:ext xmlns:c16="http://schemas.microsoft.com/office/drawing/2014/chart" uri="{C3380CC4-5D6E-409C-BE32-E72D297353CC}">
                <c16:uniqueId val="{0000002E-8C6B-4080-A5D3-BC129F25BEB7}"/>
              </c:ext>
            </c:extLst>
          </c:dPt>
          <c:dPt>
            <c:idx val="10"/>
            <c:bubble3D val="0"/>
            <c:spPr>
              <a:solidFill>
                <a:srgbClr val="FDD31F"/>
              </a:solidFill>
              <a:ln w="19050">
                <a:noFill/>
              </a:ln>
              <a:effectLst/>
            </c:spPr>
            <c:extLst xmlns:c16r2="http://schemas.microsoft.com/office/drawing/2015/06/chart">
              <c:ext xmlns:c16="http://schemas.microsoft.com/office/drawing/2014/chart" uri="{C3380CC4-5D6E-409C-BE32-E72D297353CC}">
                <c16:uniqueId val="{00000030-8C6B-4080-A5D3-BC129F25BEB7}"/>
              </c:ext>
            </c:extLst>
          </c:dPt>
          <c:dPt>
            <c:idx val="11"/>
            <c:bubble3D val="0"/>
            <c:spPr>
              <a:solidFill>
                <a:srgbClr val="FF6600"/>
              </a:solidFill>
              <a:ln w="19050">
                <a:noFill/>
              </a:ln>
              <a:effectLst/>
            </c:spPr>
            <c:extLst xmlns:c16r2="http://schemas.microsoft.com/office/drawing/2015/06/chart">
              <c:ext xmlns:c16="http://schemas.microsoft.com/office/drawing/2014/chart" uri="{C3380CC4-5D6E-409C-BE32-E72D297353CC}">
                <c16:uniqueId val="{00000032-8C6B-4080-A5D3-BC129F25BEB7}"/>
              </c:ext>
            </c:extLst>
          </c:dPt>
          <c:dPt>
            <c:idx val="12"/>
            <c:bubble3D val="0"/>
            <c:spPr>
              <a:solidFill>
                <a:srgbClr val="FF3300"/>
              </a:solidFill>
              <a:ln w="19050">
                <a:noFill/>
              </a:ln>
              <a:effectLst/>
            </c:spPr>
            <c:extLst xmlns:c16r2="http://schemas.microsoft.com/office/drawing/2015/06/chart">
              <c:ext xmlns:c16="http://schemas.microsoft.com/office/drawing/2014/chart" uri="{C3380CC4-5D6E-409C-BE32-E72D297353CC}">
                <c16:uniqueId val="{00000034-8C6B-4080-A5D3-BC129F25BEB7}"/>
              </c:ext>
            </c:extLst>
          </c:dPt>
          <c:dPt>
            <c:idx val="13"/>
            <c:bubble3D val="0"/>
            <c:spPr>
              <a:noFill/>
              <a:ln w="19050">
                <a:noFill/>
              </a:ln>
              <a:effectLst/>
            </c:spPr>
            <c:extLst xmlns:c16r2="http://schemas.microsoft.com/office/drawing/2015/06/chart">
              <c:ext xmlns:c16="http://schemas.microsoft.com/office/drawing/2014/chart" uri="{C3380CC4-5D6E-409C-BE32-E72D297353CC}">
                <c16:uniqueId val="{00000036-8C6B-4080-A5D3-BC129F25BEB7}"/>
              </c:ext>
            </c:extLst>
          </c:dPt>
          <c:dLbls>
            <c:dLbl>
              <c:idx val="0"/>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0"/>
              <c:showBubbleSize val="0"/>
            </c:dLbl>
            <c:dLbl>
              <c:idx val="1"/>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0"/>
              <c:showBubbleSize val="0"/>
            </c:dLbl>
            <c:dLbl>
              <c:idx val="7"/>
              <c:numFmt formatCode="General"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de-DE"/>
                </a:p>
              </c:txPr>
              <c:showLegendKey val="0"/>
              <c:showVal val="0"/>
              <c:showCatName val="1"/>
              <c:showSerName val="0"/>
              <c:showPercent val="0"/>
              <c:showBubbleSize val="0"/>
            </c:dLbl>
            <c:dLbl>
              <c:idx val="11"/>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0"/>
              <c:showBubbleSize val="0"/>
            </c:dLbl>
            <c:dLbl>
              <c:idx val="12"/>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0"/>
              <c:showBubbleSize val="0"/>
            </c:dLbl>
            <c:numFmt formatCode="@"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de-DE"/>
              </a:p>
            </c:txPr>
            <c:showLegendKey val="0"/>
            <c:showVal val="0"/>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15:layout/>
              </c:ext>
            </c:extLst>
          </c:dLbls>
          <c:cat>
            <c:numRef>
              <c:f>'Infos &amp; Hilfseinträge'!$AO$56:$AO$69</c:f>
              <c:numCache>
                <c:formatCode>0.00</c:formatCode>
                <c:ptCount val="14"/>
                <c:pt idx="0" formatCode="General">
                  <c:v>4.4999999999999998E-2</c:v>
                </c:pt>
                <c:pt idx="1">
                  <c:v>6.6050967042993111E-2</c:v>
                </c:pt>
                <c:pt idx="2">
                  <c:v>9.6949561051434749E-2</c:v>
                </c:pt>
                <c:pt idx="3">
                  <c:v>0.14230249470757708</c:v>
                </c:pt>
                <c:pt idx="4">
                  <c:v>0.208871497512575</c:v>
                </c:pt>
                <c:pt idx="5">
                  <c:v>0.30658143107608249</c:v>
                </c:pt>
                <c:pt idx="6">
                  <c:v>0.45</c:v>
                </c:pt>
                <c:pt idx="7">
                  <c:v>0.66050967042993125</c:v>
                </c:pt>
                <c:pt idx="8" formatCode="0.0">
                  <c:v>0.96949561051434752</c:v>
                </c:pt>
                <c:pt idx="9" formatCode="0.0">
                  <c:v>1.4230249470757708</c:v>
                </c:pt>
                <c:pt idx="10" formatCode="0.0">
                  <c:v>2.0887149751257503</c:v>
                </c:pt>
                <c:pt idx="11" formatCode="0.0">
                  <c:v>3.0658143107608264</c:v>
                </c:pt>
                <c:pt idx="12" formatCode="0.0">
                  <c:v>4.5</c:v>
                </c:pt>
              </c:numCache>
            </c:numRef>
          </c:cat>
          <c:val>
            <c:numRef>
              <c:f>'Infos &amp; Hilfseinträge'!$AN$32:$AN$45</c:f>
              <c:numCache>
                <c:formatCode>General</c:formatCode>
                <c:ptCount val="14"/>
                <c:pt idx="0">
                  <c:v>20</c:v>
                </c:pt>
                <c:pt idx="1">
                  <c:v>20</c:v>
                </c:pt>
                <c:pt idx="2">
                  <c:v>20</c:v>
                </c:pt>
                <c:pt idx="3">
                  <c:v>20</c:v>
                </c:pt>
                <c:pt idx="4">
                  <c:v>20</c:v>
                </c:pt>
                <c:pt idx="5">
                  <c:v>20</c:v>
                </c:pt>
                <c:pt idx="6">
                  <c:v>20</c:v>
                </c:pt>
                <c:pt idx="7">
                  <c:v>20</c:v>
                </c:pt>
                <c:pt idx="8">
                  <c:v>20</c:v>
                </c:pt>
                <c:pt idx="9">
                  <c:v>20</c:v>
                </c:pt>
                <c:pt idx="10">
                  <c:v>20</c:v>
                </c:pt>
                <c:pt idx="11">
                  <c:v>20</c:v>
                </c:pt>
                <c:pt idx="12">
                  <c:v>20</c:v>
                </c:pt>
                <c:pt idx="13">
                  <c:v>260</c:v>
                </c:pt>
              </c:numCache>
            </c:numRef>
          </c:val>
          <c:extLst xmlns:c16r2="http://schemas.microsoft.com/office/drawing/2015/06/chart">
            <c:ext xmlns:c16="http://schemas.microsoft.com/office/drawing/2014/chart" uri="{C3380CC4-5D6E-409C-BE32-E72D297353CC}">
              <c16:uniqueId val="{00000037-8C6B-4080-A5D3-BC129F25BEB7}"/>
            </c:ext>
          </c:extLst>
        </c:ser>
        <c:dLbls>
          <c:showLegendKey val="0"/>
          <c:showVal val="1"/>
          <c:showCatName val="0"/>
          <c:showSerName val="0"/>
          <c:showPercent val="0"/>
          <c:showBubbleSize val="0"/>
          <c:showLeaderLines val="1"/>
        </c:dLbls>
        <c:firstSliceAng val="270"/>
        <c:holeSize val="70"/>
      </c:doughnutChart>
      <c:pieChart>
        <c:varyColors val="1"/>
        <c:ser>
          <c:idx val="0"/>
          <c:order val="0"/>
          <c:tx>
            <c:strRef>
              <c:f>'Infos &amp; Hilfseinträge'!$AM$55</c:f>
              <c:strCache>
                <c:ptCount val="1"/>
                <c:pt idx="0">
                  <c:v>Zeiger</c:v>
                </c:pt>
              </c:strCache>
            </c:strRef>
          </c:tx>
          <c:spPr>
            <a:noFill/>
            <a:ln w="38100">
              <a:noFill/>
            </a:ln>
            <a:effectLst/>
          </c:spPr>
          <c:dPt>
            <c:idx val="1"/>
            <c:bubble3D val="0"/>
            <c:spPr>
              <a:noFill/>
              <a:ln w="38100">
                <a:solidFill>
                  <a:schemeClr val="tx1"/>
                </a:solidFill>
              </a:ln>
              <a:effectLst/>
            </c:spPr>
            <c:extLst xmlns:c16r2="http://schemas.microsoft.com/office/drawing/2015/06/chart">
              <c:ext xmlns:c16="http://schemas.microsoft.com/office/drawing/2014/chart" uri="{C3380CC4-5D6E-409C-BE32-E72D297353CC}">
                <c16:uniqueId val="{00000003-8C6B-4080-A5D3-BC129F25BEB7}"/>
              </c:ext>
            </c:extLst>
          </c:dPt>
          <c:dLbls>
            <c:delete val="1"/>
          </c:dLbls>
          <c:cat>
            <c:numRef>
              <c:f>'Infos &amp; Hilfseinträge'!$AM$56:$AM$69</c:f>
              <c:numCache>
                <c:formatCode>0%</c:formatCode>
                <c:ptCount val="14"/>
                <c:pt idx="0">
                  <c:v>1.6851065698824044</c:v>
                </c:pt>
                <c:pt idx="1">
                  <c:v>0</c:v>
                </c:pt>
                <c:pt idx="2">
                  <c:v>0.31489343011759563</c:v>
                </c:pt>
                <c:pt idx="3">
                  <c:v>2</c:v>
                </c:pt>
              </c:numCache>
            </c:numRef>
          </c:cat>
          <c:val>
            <c:numRef>
              <c:f>'Infos &amp; Hilfseinträge'!$AM$56:$AM$68</c:f>
              <c:numCache>
                <c:formatCode>0%</c:formatCode>
                <c:ptCount val="13"/>
                <c:pt idx="0">
                  <c:v>1.6851065698824044</c:v>
                </c:pt>
                <c:pt idx="1">
                  <c:v>0</c:v>
                </c:pt>
                <c:pt idx="2">
                  <c:v>0.31489343011759563</c:v>
                </c:pt>
                <c:pt idx="3">
                  <c:v>2</c:v>
                </c:pt>
              </c:numCache>
            </c:numRef>
          </c:val>
          <c:extLst xmlns:c16r2="http://schemas.microsoft.com/office/drawing/2015/06/chart">
            <c:ext xmlns:c16="http://schemas.microsoft.com/office/drawing/2014/chart" uri="{C3380CC4-5D6E-409C-BE32-E72D297353CC}">
              <c16:uniqueId val="{0000001A-8C6B-4080-A5D3-BC129F25BEB7}"/>
            </c:ext>
          </c:extLst>
        </c:ser>
        <c:dLbls>
          <c:showLegendKey val="0"/>
          <c:showVal val="1"/>
          <c:showCatName val="0"/>
          <c:showSerName val="0"/>
          <c:showPercent val="0"/>
          <c:showBubbleSize val="0"/>
          <c:showLeaderLines val="1"/>
        </c:dLbls>
        <c:firstSliceAng val="27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2.5898769390447992E-2"/>
          <c:y val="2.4030652207551132E-2"/>
          <c:w val="0.9577822778546603"/>
          <c:h val="0.96155600492426441"/>
        </c:manualLayout>
      </c:layout>
      <c:doughnutChart>
        <c:varyColors val="1"/>
        <c:ser>
          <c:idx val="1"/>
          <c:order val="1"/>
          <c:tx>
            <c:strRef>
              <c:f>'Infos &amp; Hilfseinträge'!$AN$79</c:f>
              <c:strCache>
                <c:ptCount val="1"/>
                <c:pt idx="0">
                  <c:v>Segmente</c:v>
                </c:pt>
              </c:strCache>
            </c:strRef>
          </c:tx>
          <c:dPt>
            <c:idx val="0"/>
            <c:bubble3D val="0"/>
            <c:spPr>
              <a:solidFill>
                <a:srgbClr val="FF481D"/>
              </a:solidFill>
            </c:spPr>
            <c:extLst xmlns:c16r2="http://schemas.microsoft.com/office/drawing/2015/06/chart">
              <c:ext xmlns:c16="http://schemas.microsoft.com/office/drawing/2014/chart" uri="{C3380CC4-5D6E-409C-BE32-E72D297353CC}">
                <c16:uniqueId val="{00000001-2CB6-4681-A480-10DE90BF2C20}"/>
              </c:ext>
            </c:extLst>
          </c:dPt>
          <c:dPt>
            <c:idx val="1"/>
            <c:bubble3D val="0"/>
            <c:spPr>
              <a:solidFill>
                <a:srgbClr val="FFC000"/>
              </a:solidFill>
            </c:spPr>
            <c:extLst xmlns:c16r2="http://schemas.microsoft.com/office/drawing/2015/06/chart">
              <c:ext xmlns:c16="http://schemas.microsoft.com/office/drawing/2014/chart" uri="{C3380CC4-5D6E-409C-BE32-E72D297353CC}">
                <c16:uniqueId val="{00000003-2CB6-4681-A480-10DE90BF2C20}"/>
              </c:ext>
            </c:extLst>
          </c:dPt>
          <c:dPt>
            <c:idx val="2"/>
            <c:bubble3D val="0"/>
            <c:spPr>
              <a:solidFill>
                <a:srgbClr val="FFFF33"/>
              </a:solidFill>
            </c:spPr>
            <c:extLst xmlns:c16r2="http://schemas.microsoft.com/office/drawing/2015/06/chart">
              <c:ext xmlns:c16="http://schemas.microsoft.com/office/drawing/2014/chart" uri="{C3380CC4-5D6E-409C-BE32-E72D297353CC}">
                <c16:uniqueId val="{00000005-2CB6-4681-A480-10DE90BF2C20}"/>
              </c:ext>
            </c:extLst>
          </c:dPt>
          <c:dPt>
            <c:idx val="3"/>
            <c:bubble3D val="0"/>
            <c:spPr>
              <a:solidFill>
                <a:srgbClr val="99FF33"/>
              </a:solidFill>
            </c:spPr>
            <c:extLst xmlns:c16r2="http://schemas.microsoft.com/office/drawing/2015/06/chart">
              <c:ext xmlns:c16="http://schemas.microsoft.com/office/drawing/2014/chart" uri="{C3380CC4-5D6E-409C-BE32-E72D297353CC}">
                <c16:uniqueId val="{00000007-2CB6-4681-A480-10DE90BF2C20}"/>
              </c:ext>
            </c:extLst>
          </c:dPt>
          <c:dPt>
            <c:idx val="4"/>
            <c:bubble3D val="0"/>
            <c:spPr>
              <a:solidFill>
                <a:srgbClr val="66FF66"/>
              </a:solidFill>
            </c:spPr>
            <c:extLst xmlns:c16r2="http://schemas.microsoft.com/office/drawing/2015/06/chart">
              <c:ext xmlns:c16="http://schemas.microsoft.com/office/drawing/2014/chart" uri="{C3380CC4-5D6E-409C-BE32-E72D297353CC}">
                <c16:uniqueId val="{00000009-2CB6-4681-A480-10DE90BF2C20}"/>
              </c:ext>
            </c:extLst>
          </c:dPt>
          <c:dPt>
            <c:idx val="5"/>
            <c:bubble3D val="0"/>
            <c:spPr>
              <a:solidFill>
                <a:srgbClr val="57D557"/>
              </a:solidFill>
            </c:spPr>
            <c:extLst xmlns:c16r2="http://schemas.microsoft.com/office/drawing/2015/06/chart">
              <c:ext xmlns:c16="http://schemas.microsoft.com/office/drawing/2014/chart" uri="{C3380CC4-5D6E-409C-BE32-E72D297353CC}">
                <c16:uniqueId val="{0000000B-2CB6-4681-A480-10DE90BF2C20}"/>
              </c:ext>
            </c:extLst>
          </c:dPt>
          <c:dPt>
            <c:idx val="6"/>
            <c:bubble3D val="0"/>
            <c:spPr>
              <a:solidFill>
                <a:srgbClr val="66FF66"/>
              </a:solidFill>
            </c:spPr>
            <c:extLst xmlns:c16r2="http://schemas.microsoft.com/office/drawing/2015/06/chart">
              <c:ext xmlns:c16="http://schemas.microsoft.com/office/drawing/2014/chart" uri="{C3380CC4-5D6E-409C-BE32-E72D297353CC}">
                <c16:uniqueId val="{0000000D-2CB6-4681-A480-10DE90BF2C20}"/>
              </c:ext>
            </c:extLst>
          </c:dPt>
          <c:dPt>
            <c:idx val="7"/>
            <c:bubble3D val="0"/>
            <c:spPr>
              <a:solidFill>
                <a:srgbClr val="99FF33"/>
              </a:solidFill>
            </c:spPr>
            <c:extLst xmlns:c16r2="http://schemas.microsoft.com/office/drawing/2015/06/chart">
              <c:ext xmlns:c16="http://schemas.microsoft.com/office/drawing/2014/chart" uri="{C3380CC4-5D6E-409C-BE32-E72D297353CC}">
                <c16:uniqueId val="{0000000F-2CB6-4681-A480-10DE90BF2C20}"/>
              </c:ext>
            </c:extLst>
          </c:dPt>
          <c:dPt>
            <c:idx val="8"/>
            <c:bubble3D val="0"/>
            <c:spPr>
              <a:solidFill>
                <a:srgbClr val="FFFF33"/>
              </a:solidFill>
            </c:spPr>
            <c:extLst xmlns:c16r2="http://schemas.microsoft.com/office/drawing/2015/06/chart">
              <c:ext xmlns:c16="http://schemas.microsoft.com/office/drawing/2014/chart" uri="{C3380CC4-5D6E-409C-BE32-E72D297353CC}">
                <c16:uniqueId val="{00000011-2CB6-4681-A480-10DE90BF2C20}"/>
              </c:ext>
            </c:extLst>
          </c:dPt>
          <c:dPt>
            <c:idx val="9"/>
            <c:bubble3D val="0"/>
            <c:spPr>
              <a:solidFill>
                <a:srgbClr val="FFC000"/>
              </a:solidFill>
            </c:spPr>
            <c:extLst xmlns:c16r2="http://schemas.microsoft.com/office/drawing/2015/06/chart">
              <c:ext xmlns:c16="http://schemas.microsoft.com/office/drawing/2014/chart" uri="{C3380CC4-5D6E-409C-BE32-E72D297353CC}">
                <c16:uniqueId val="{00000013-2CB6-4681-A480-10DE90BF2C20}"/>
              </c:ext>
            </c:extLst>
          </c:dPt>
          <c:dPt>
            <c:idx val="10"/>
            <c:bubble3D val="0"/>
            <c:spPr>
              <a:solidFill>
                <a:srgbClr val="FF481D"/>
              </a:solidFill>
            </c:spPr>
            <c:extLst xmlns:c16r2="http://schemas.microsoft.com/office/drawing/2015/06/chart">
              <c:ext xmlns:c16="http://schemas.microsoft.com/office/drawing/2014/chart" uri="{C3380CC4-5D6E-409C-BE32-E72D297353CC}">
                <c16:uniqueId val="{00000015-2CB6-4681-A480-10DE90BF2C20}"/>
              </c:ext>
            </c:extLst>
          </c:dPt>
          <c:dPt>
            <c:idx val="11"/>
            <c:bubble3D val="0"/>
            <c:spPr>
              <a:noFill/>
            </c:spPr>
            <c:extLst xmlns:c16r2="http://schemas.microsoft.com/office/drawing/2015/06/chart">
              <c:ext xmlns:c16="http://schemas.microsoft.com/office/drawing/2014/chart" uri="{C3380CC4-5D6E-409C-BE32-E72D297353CC}">
                <c16:uniqueId val="{00000017-2CB6-4681-A480-10DE90BF2C20}"/>
              </c:ext>
            </c:extLst>
          </c:dPt>
          <c:dLbls>
            <c:dLbl>
              <c:idx val="0"/>
              <c:numFmt formatCode="General"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bg1"/>
                      </a:solidFill>
                      <a:latin typeface="+mn-lt"/>
                      <a:ea typeface="+mn-ea"/>
                      <a:cs typeface="+mn-cs"/>
                    </a:defRPr>
                  </a:pPr>
                  <a:endParaRPr lang="de-DE"/>
                </a:p>
              </c:txPr>
              <c:showLegendKey val="0"/>
              <c:showVal val="0"/>
              <c:showCatName val="1"/>
              <c:showSerName val="0"/>
              <c:showPercent val="0"/>
              <c:showBubbleSize val="0"/>
            </c:dLbl>
            <c:dLbl>
              <c:idx val="10"/>
              <c:numFmt formatCode="General"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bg1"/>
                      </a:solidFill>
                      <a:latin typeface="+mn-lt"/>
                      <a:ea typeface="+mn-ea"/>
                      <a:cs typeface="+mn-cs"/>
                    </a:defRPr>
                  </a:pPr>
                  <a:endParaRPr lang="de-DE"/>
                </a:p>
              </c:txPr>
              <c:showLegendKey val="0"/>
              <c:showVal val="0"/>
              <c:showCatName val="1"/>
              <c:showSerName val="0"/>
              <c:showPercent val="0"/>
              <c:showBubbleSize val="0"/>
            </c:dLbl>
            <c:numFmt formatCode="General"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de-DE"/>
              </a:p>
            </c:txPr>
            <c:showLegendKey val="0"/>
            <c:showVal val="0"/>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15:layout/>
              </c:ext>
            </c:extLst>
          </c:dLbls>
          <c:cat>
            <c:numRef>
              <c:f>'Infos &amp; Hilfseinträge'!$AO$80:$AO$91</c:f>
              <c:numCache>
                <c:formatCode>0.0</c:formatCode>
                <c:ptCount val="12"/>
                <c:pt idx="0">
                  <c:v>5</c:v>
                </c:pt>
                <c:pt idx="1">
                  <c:v>5.0999999999999996</c:v>
                </c:pt>
                <c:pt idx="2">
                  <c:v>5.2</c:v>
                </c:pt>
                <c:pt idx="3">
                  <c:v>5.3</c:v>
                </c:pt>
                <c:pt idx="4">
                  <c:v>5.4</c:v>
                </c:pt>
                <c:pt idx="5">
                  <c:v>5.5</c:v>
                </c:pt>
                <c:pt idx="6">
                  <c:v>5.6</c:v>
                </c:pt>
                <c:pt idx="7">
                  <c:v>5.7</c:v>
                </c:pt>
                <c:pt idx="8">
                  <c:v>5.8</c:v>
                </c:pt>
                <c:pt idx="9">
                  <c:v>5.9</c:v>
                </c:pt>
                <c:pt idx="10">
                  <c:v>6</c:v>
                </c:pt>
              </c:numCache>
            </c:numRef>
          </c:cat>
          <c:val>
            <c:numRef>
              <c:f>'Infos &amp; Hilfseinträge'!$AN$80:$AN$91</c:f>
              <c:numCache>
                <c:formatCode>General</c:formatCode>
                <c:ptCount val="12"/>
                <c:pt idx="0">
                  <c:v>20</c:v>
                </c:pt>
                <c:pt idx="1">
                  <c:v>20</c:v>
                </c:pt>
                <c:pt idx="2">
                  <c:v>20</c:v>
                </c:pt>
                <c:pt idx="3">
                  <c:v>20</c:v>
                </c:pt>
                <c:pt idx="4">
                  <c:v>20</c:v>
                </c:pt>
                <c:pt idx="5">
                  <c:v>20</c:v>
                </c:pt>
                <c:pt idx="6">
                  <c:v>20</c:v>
                </c:pt>
                <c:pt idx="7">
                  <c:v>20</c:v>
                </c:pt>
                <c:pt idx="8">
                  <c:v>20</c:v>
                </c:pt>
                <c:pt idx="9">
                  <c:v>20</c:v>
                </c:pt>
                <c:pt idx="10">
                  <c:v>20</c:v>
                </c:pt>
                <c:pt idx="11">
                  <c:v>220</c:v>
                </c:pt>
              </c:numCache>
            </c:numRef>
          </c:val>
          <c:extLst xmlns:c16r2="http://schemas.microsoft.com/office/drawing/2015/06/chart">
            <c:ext xmlns:c16="http://schemas.microsoft.com/office/drawing/2014/chart" uri="{C3380CC4-5D6E-409C-BE32-E72D297353CC}">
              <c16:uniqueId val="{0000001C-2CB6-4681-A480-10DE90BF2C20}"/>
            </c:ext>
          </c:extLst>
        </c:ser>
        <c:dLbls>
          <c:showLegendKey val="0"/>
          <c:showVal val="1"/>
          <c:showCatName val="0"/>
          <c:showSerName val="0"/>
          <c:showPercent val="0"/>
          <c:showBubbleSize val="0"/>
          <c:showLeaderLines val="1"/>
        </c:dLbls>
        <c:firstSliceAng val="270"/>
        <c:holeSize val="70"/>
      </c:doughnutChart>
      <c:pieChart>
        <c:varyColors val="1"/>
        <c:ser>
          <c:idx val="0"/>
          <c:order val="0"/>
          <c:tx>
            <c:strRef>
              <c:f>'Infos &amp; Hilfseinträge'!$AM$79</c:f>
              <c:strCache>
                <c:ptCount val="1"/>
                <c:pt idx="0">
                  <c:v>Zeiger</c:v>
                </c:pt>
              </c:strCache>
            </c:strRef>
          </c:tx>
          <c:spPr>
            <a:noFill/>
          </c:spPr>
          <c:dPt>
            <c:idx val="0"/>
            <c:bubble3D val="0"/>
            <c:spPr>
              <a:noFill/>
              <a:ln>
                <a:noFill/>
              </a:ln>
            </c:spPr>
            <c:extLst xmlns:c16r2="http://schemas.microsoft.com/office/drawing/2015/06/chart">
              <c:ext xmlns:c16="http://schemas.microsoft.com/office/drawing/2014/chart" uri="{C3380CC4-5D6E-409C-BE32-E72D297353CC}">
                <c16:uniqueId val="{00000020-2CB6-4681-A480-10DE90BF2C20}"/>
              </c:ext>
            </c:extLst>
          </c:dPt>
          <c:dPt>
            <c:idx val="1"/>
            <c:bubble3D val="0"/>
            <c:spPr>
              <a:noFill/>
              <a:ln w="38100">
                <a:solidFill>
                  <a:schemeClr val="tx1"/>
                </a:solidFill>
              </a:ln>
            </c:spPr>
            <c:extLst xmlns:c16r2="http://schemas.microsoft.com/office/drawing/2015/06/chart">
              <c:ext xmlns:c16="http://schemas.microsoft.com/office/drawing/2014/chart" uri="{C3380CC4-5D6E-409C-BE32-E72D297353CC}">
                <c16:uniqueId val="{0000001E-2CB6-4681-A480-10DE90BF2C20}"/>
              </c:ext>
            </c:extLst>
          </c:dPt>
          <c:dLbls>
            <c:delete val="1"/>
          </c:dLbls>
          <c:cat>
            <c:numRef>
              <c:f>'Infos &amp; Hilfseinträge'!$AM$80:$AM$91</c:f>
              <c:numCache>
                <c:formatCode>0%</c:formatCode>
                <c:ptCount val="12"/>
                <c:pt idx="0">
                  <c:v>1.3510929911874265</c:v>
                </c:pt>
                <c:pt idx="1">
                  <c:v>0</c:v>
                </c:pt>
                <c:pt idx="2">
                  <c:v>0.64890700881257346</c:v>
                </c:pt>
                <c:pt idx="3">
                  <c:v>2</c:v>
                </c:pt>
              </c:numCache>
            </c:numRef>
          </c:cat>
          <c:val>
            <c:numRef>
              <c:f>'Infos &amp; Hilfseinträge'!$AM$80:$AM$90</c:f>
              <c:numCache>
                <c:formatCode>0%</c:formatCode>
                <c:ptCount val="11"/>
                <c:pt idx="0">
                  <c:v>1.3510929911874265</c:v>
                </c:pt>
                <c:pt idx="1">
                  <c:v>0</c:v>
                </c:pt>
                <c:pt idx="2">
                  <c:v>0.64890700881257346</c:v>
                </c:pt>
                <c:pt idx="3">
                  <c:v>2</c:v>
                </c:pt>
              </c:numCache>
            </c:numRef>
          </c:val>
          <c:extLst xmlns:c16r2="http://schemas.microsoft.com/office/drawing/2015/06/chart">
            <c:ext xmlns:c16="http://schemas.microsoft.com/office/drawing/2014/chart" uri="{C3380CC4-5D6E-409C-BE32-E72D297353CC}">
              <c16:uniqueId val="{0000001F-2CB6-4681-A480-10DE90BF2C20}"/>
            </c:ext>
          </c:extLst>
        </c:ser>
        <c:dLbls>
          <c:showLegendKey val="0"/>
          <c:showVal val="1"/>
          <c:showCatName val="0"/>
          <c:showSerName val="0"/>
          <c:showPercent val="0"/>
          <c:showBubbleSize val="0"/>
          <c:showLeaderLines val="1"/>
        </c:dLbls>
        <c:firstSliceAng val="27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4.png"/><Relationship Id="rId7" Type="http://schemas.openxmlformats.org/officeDocument/2006/relationships/image" Target="../media/image7.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chart" Target="../charts/chart2.xml"/><Relationship Id="rId4" Type="http://schemas.openxmlformats.org/officeDocument/2006/relationships/image" Target="../media/image1.jpeg"/><Relationship Id="rId9"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8.png"/><Relationship Id="rId13" Type="http://schemas.openxmlformats.org/officeDocument/2006/relationships/image" Target="../media/image23.png"/><Relationship Id="rId3" Type="http://schemas.openxmlformats.org/officeDocument/2006/relationships/image" Target="../media/image13.png"/><Relationship Id="rId7" Type="http://schemas.openxmlformats.org/officeDocument/2006/relationships/image" Target="../media/image17.png"/><Relationship Id="rId12" Type="http://schemas.openxmlformats.org/officeDocument/2006/relationships/image" Target="../media/image22.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6.png"/><Relationship Id="rId11" Type="http://schemas.openxmlformats.org/officeDocument/2006/relationships/image" Target="../media/image21.png"/><Relationship Id="rId5" Type="http://schemas.openxmlformats.org/officeDocument/2006/relationships/image" Target="../media/image15.png"/><Relationship Id="rId10" Type="http://schemas.openxmlformats.org/officeDocument/2006/relationships/image" Target="../media/image20.png"/><Relationship Id="rId4" Type="http://schemas.openxmlformats.org/officeDocument/2006/relationships/image" Target="../media/image14.png"/><Relationship Id="rId9"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28</xdr:col>
      <xdr:colOff>95250</xdr:colOff>
      <xdr:row>3</xdr:row>
      <xdr:rowOff>23812</xdr:rowOff>
    </xdr:from>
    <xdr:to>
      <xdr:col>28</xdr:col>
      <xdr:colOff>628650</xdr:colOff>
      <xdr:row>3</xdr:row>
      <xdr:rowOff>23812</xdr:rowOff>
    </xdr:to>
    <xdr:cxnSp macro="">
      <xdr:nvCxnSpPr>
        <xdr:cNvPr id="2" name="Gerade Verbindung mit Pfeil 1"/>
        <xdr:cNvCxnSpPr/>
      </xdr:nvCxnSpPr>
      <xdr:spPr>
        <a:xfrm flipH="1">
          <a:off x="25660350" y="1071562"/>
          <a:ext cx="533400" cy="0"/>
        </a:xfrm>
        <a:prstGeom prst="straightConnector1">
          <a:avLst/>
        </a:prstGeom>
        <a:ln w="31750">
          <a:headEnd type="oval" w="sm" len="med"/>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85725</xdr:colOff>
      <xdr:row>3</xdr:row>
      <xdr:rowOff>23812</xdr:rowOff>
    </xdr:from>
    <xdr:to>
      <xdr:col>50</xdr:col>
      <xdr:colOff>619125</xdr:colOff>
      <xdr:row>3</xdr:row>
      <xdr:rowOff>23812</xdr:rowOff>
    </xdr:to>
    <xdr:cxnSp macro="">
      <xdr:nvCxnSpPr>
        <xdr:cNvPr id="3" name="Gerade Verbindung mit Pfeil 2"/>
        <xdr:cNvCxnSpPr/>
      </xdr:nvCxnSpPr>
      <xdr:spPr>
        <a:xfrm flipH="1">
          <a:off x="40128825" y="1071562"/>
          <a:ext cx="533400" cy="0"/>
        </a:xfrm>
        <a:prstGeom prst="straightConnector1">
          <a:avLst/>
        </a:prstGeom>
        <a:ln w="31750">
          <a:headEnd type="oval" w="sm" len="med"/>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55</xdr:col>
      <xdr:colOff>438151</xdr:colOff>
      <xdr:row>3</xdr:row>
      <xdr:rowOff>4762</xdr:rowOff>
    </xdr:from>
    <xdr:to>
      <xdr:col>56</xdr:col>
      <xdr:colOff>180975</xdr:colOff>
      <xdr:row>3</xdr:row>
      <xdr:rowOff>4762</xdr:rowOff>
    </xdr:to>
    <xdr:cxnSp macro="">
      <xdr:nvCxnSpPr>
        <xdr:cNvPr id="4" name="Gerade Verbindung mit Pfeil 3"/>
        <xdr:cNvCxnSpPr/>
      </xdr:nvCxnSpPr>
      <xdr:spPr>
        <a:xfrm flipH="1">
          <a:off x="39062026" y="1147762"/>
          <a:ext cx="504824" cy="0"/>
        </a:xfrm>
        <a:prstGeom prst="straightConnector1">
          <a:avLst/>
        </a:prstGeom>
        <a:ln w="31750">
          <a:headEnd type="oval" w="sm" len="med"/>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114300</xdr:colOff>
      <xdr:row>3</xdr:row>
      <xdr:rowOff>23812</xdr:rowOff>
    </xdr:from>
    <xdr:to>
      <xdr:col>31</xdr:col>
      <xdr:colOff>28575</xdr:colOff>
      <xdr:row>3</xdr:row>
      <xdr:rowOff>23812</xdr:rowOff>
    </xdr:to>
    <xdr:cxnSp macro="">
      <xdr:nvCxnSpPr>
        <xdr:cNvPr id="5" name="Gerade Verbindung mit Pfeil 4"/>
        <xdr:cNvCxnSpPr/>
      </xdr:nvCxnSpPr>
      <xdr:spPr>
        <a:xfrm>
          <a:off x="27203400" y="1071562"/>
          <a:ext cx="676275" cy="0"/>
        </a:xfrm>
        <a:prstGeom prst="straightConnector1">
          <a:avLst/>
        </a:prstGeom>
        <a:ln w="31750">
          <a:headEnd type="oval" w="sm" len="med"/>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85725</xdr:colOff>
      <xdr:row>3</xdr:row>
      <xdr:rowOff>23812</xdr:rowOff>
    </xdr:from>
    <xdr:to>
      <xdr:col>14</xdr:col>
      <xdr:colOff>609600</xdr:colOff>
      <xdr:row>3</xdr:row>
      <xdr:rowOff>23812</xdr:rowOff>
    </xdr:to>
    <xdr:cxnSp macro="">
      <xdr:nvCxnSpPr>
        <xdr:cNvPr id="6" name="Gerade Verbindung mit Pfeil 5"/>
        <xdr:cNvCxnSpPr/>
      </xdr:nvCxnSpPr>
      <xdr:spPr>
        <a:xfrm>
          <a:off x="14982825" y="1071562"/>
          <a:ext cx="523875" cy="0"/>
        </a:xfrm>
        <a:prstGeom prst="straightConnector1">
          <a:avLst/>
        </a:prstGeom>
        <a:ln w="31750">
          <a:headEnd type="oval" w="sm" len="med"/>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95251</xdr:colOff>
      <xdr:row>0</xdr:row>
      <xdr:rowOff>123825</xdr:rowOff>
    </xdr:from>
    <xdr:to>
      <xdr:col>4</xdr:col>
      <xdr:colOff>1628776</xdr:colOff>
      <xdr:row>5</xdr:row>
      <xdr:rowOff>41429</xdr:rowOff>
    </xdr:to>
    <xdr:grpSp>
      <xdr:nvGrpSpPr>
        <xdr:cNvPr id="7" name="Gruppieren 6"/>
        <xdr:cNvGrpSpPr/>
      </xdr:nvGrpSpPr>
      <xdr:grpSpPr>
        <a:xfrm>
          <a:off x="390526" y="123825"/>
          <a:ext cx="2590800" cy="1584479"/>
          <a:chOff x="3000375" y="57150"/>
          <a:chExt cx="2442210" cy="1727354"/>
        </a:xfrm>
      </xdr:grpSpPr>
      <xdr:pic>
        <xdr:nvPicPr>
          <xdr:cNvPr id="8" name="Grafik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7150"/>
            <a:ext cx="2442210" cy="1727354"/>
          </a:xfrm>
          <a:prstGeom prst="rect">
            <a:avLst/>
          </a:prstGeom>
          <a:ln w="19050">
            <a:solidFill>
              <a:schemeClr val="accent4"/>
            </a:solidFill>
          </a:ln>
        </xdr:spPr>
      </xdr:pic>
      <xdr:sp macro="" textlink="">
        <xdr:nvSpPr>
          <xdr:cNvPr id="9" name="Textfeld 8"/>
          <xdr:cNvSpPr txBox="1"/>
        </xdr:nvSpPr>
        <xdr:spPr>
          <a:xfrm>
            <a:off x="3009900" y="767526"/>
            <a:ext cx="2019300" cy="1004125"/>
          </a:xfrm>
          <a:prstGeom prst="rect">
            <a:avLst/>
          </a:prstGeom>
          <a:gradFill flip="none" rotWithShape="1">
            <a:gsLst>
              <a:gs pos="0">
                <a:srgbClr val="000000">
                  <a:alpha val="20000"/>
                </a:srgbClr>
              </a:gs>
              <a:gs pos="35000">
                <a:srgbClr val="000000">
                  <a:alpha val="25882"/>
                </a:srgbClr>
              </a:gs>
              <a:gs pos="100000">
                <a:srgbClr val="000000">
                  <a:alpha val="40000"/>
                </a:srgbClr>
              </a:gs>
            </a:gsLst>
            <a:lin ang="8100000" scaled="0"/>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36000" bIns="0" rtlCol="0" anchor="t"/>
          <a:lstStyle/>
          <a:p>
            <a:r>
              <a:rPr lang="de-DE" sz="2800" b="1">
                <a:solidFill>
                  <a:schemeClr val="accent4"/>
                </a:solidFill>
              </a:rPr>
              <a:t>Brauwasser-</a:t>
            </a:r>
          </a:p>
          <a:p>
            <a:r>
              <a:rPr lang="de-DE" sz="2800" b="1">
                <a:solidFill>
                  <a:schemeClr val="accent4"/>
                </a:solidFill>
              </a:rPr>
              <a:t>Rechner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2381</xdr:colOff>
      <xdr:row>21</xdr:row>
      <xdr:rowOff>181769</xdr:rowOff>
    </xdr:from>
    <xdr:to>
      <xdr:col>12</xdr:col>
      <xdr:colOff>94456</xdr:colOff>
      <xdr:row>38</xdr:row>
      <xdr:rowOff>16668</xdr:rowOff>
    </xdr:to>
    <xdr:sp macro="" textlink="">
      <xdr:nvSpPr>
        <xdr:cNvPr id="29" name="Kreis 28"/>
        <xdr:cNvSpPr/>
      </xdr:nvSpPr>
      <xdr:spPr>
        <a:xfrm rot="10800000">
          <a:off x="935831" y="5277644"/>
          <a:ext cx="3511550" cy="3644899"/>
        </a:xfrm>
        <a:prstGeom prst="pie">
          <a:avLst>
            <a:gd name="adj1" fmla="val 0"/>
            <a:gd name="adj2" fmla="val 10806794"/>
          </a:avLst>
        </a:prstGeom>
        <a:gradFill flip="none" rotWithShape="1">
          <a:gsLst>
            <a:gs pos="0">
              <a:schemeClr val="bg1">
                <a:lumMod val="95000"/>
              </a:schemeClr>
            </a:gs>
            <a:gs pos="48000">
              <a:schemeClr val="tx1">
                <a:lumMod val="50000"/>
                <a:lumOff val="50000"/>
              </a:schemeClr>
            </a:gs>
            <a:gs pos="100000">
              <a:schemeClr val="tx1">
                <a:lumMod val="75000"/>
                <a:lumOff val="25000"/>
              </a:schemeClr>
            </a:gs>
          </a:gsLst>
          <a:path path="circle">
            <a:fillToRect l="50000" t="-80000" r="50000" b="180000"/>
          </a:path>
          <a:tileRect/>
        </a:gradFill>
        <a:ln w="28575">
          <a:solidFill>
            <a:srgbClr val="401D0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3</xdr:col>
      <xdr:colOff>19049</xdr:colOff>
      <xdr:row>8</xdr:row>
      <xdr:rowOff>170655</xdr:rowOff>
    </xdr:from>
    <xdr:to>
      <xdr:col>12</xdr:col>
      <xdr:colOff>115887</xdr:colOff>
      <xdr:row>24</xdr:row>
      <xdr:rowOff>13493</xdr:rowOff>
    </xdr:to>
    <xdr:sp macro="" textlink="">
      <xdr:nvSpPr>
        <xdr:cNvPr id="31" name="Kreis 30"/>
        <xdr:cNvSpPr/>
      </xdr:nvSpPr>
      <xdr:spPr>
        <a:xfrm rot="10800000">
          <a:off x="952499" y="2275680"/>
          <a:ext cx="3516313" cy="3519488"/>
        </a:xfrm>
        <a:prstGeom prst="pie">
          <a:avLst>
            <a:gd name="adj1" fmla="val 0"/>
            <a:gd name="adj2" fmla="val 10806794"/>
          </a:avLst>
        </a:prstGeom>
        <a:gradFill flip="none" rotWithShape="1">
          <a:gsLst>
            <a:gs pos="0">
              <a:schemeClr val="bg1">
                <a:lumMod val="95000"/>
              </a:schemeClr>
            </a:gs>
            <a:gs pos="48000">
              <a:schemeClr val="tx1">
                <a:lumMod val="50000"/>
                <a:lumOff val="50000"/>
              </a:schemeClr>
            </a:gs>
            <a:gs pos="100000">
              <a:schemeClr val="tx1">
                <a:lumMod val="75000"/>
                <a:lumOff val="25000"/>
              </a:schemeClr>
            </a:gs>
          </a:gsLst>
          <a:path path="circle">
            <a:fillToRect l="50000" t="-80000" r="50000" b="180000"/>
          </a:path>
          <a:tileRect/>
        </a:gradFill>
        <a:ln w="28575">
          <a:solidFill>
            <a:srgbClr val="401D0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52</xdr:col>
      <xdr:colOff>161926</xdr:colOff>
      <xdr:row>46</xdr:row>
      <xdr:rowOff>66675</xdr:rowOff>
    </xdr:from>
    <xdr:to>
      <xdr:col>52</xdr:col>
      <xdr:colOff>380974</xdr:colOff>
      <xdr:row>47</xdr:row>
      <xdr:rowOff>38070</xdr:rowOff>
    </xdr:to>
    <xdr:pic>
      <xdr:nvPicPr>
        <xdr:cNvPr id="3" name="Grafik 2"/>
        <xdr:cNvPicPr>
          <a:picLocks noChangeAspect="1"/>
        </xdr:cNvPicPr>
      </xdr:nvPicPr>
      <xdr:blipFill>
        <a:blip xmlns:r="http://schemas.openxmlformats.org/officeDocument/2006/relationships" r:embed="rId1"/>
        <a:stretch>
          <a:fillRect/>
        </a:stretch>
      </xdr:blipFill>
      <xdr:spPr>
        <a:xfrm>
          <a:off x="21440776" y="7724775"/>
          <a:ext cx="219048" cy="238095"/>
        </a:xfrm>
        <a:prstGeom prst="rect">
          <a:avLst/>
        </a:prstGeom>
      </xdr:spPr>
    </xdr:pic>
    <xdr:clientData/>
  </xdr:twoCellAnchor>
  <xdr:twoCellAnchor>
    <xdr:from>
      <xdr:col>52</xdr:col>
      <xdr:colOff>171450</xdr:colOff>
      <xdr:row>48</xdr:row>
      <xdr:rowOff>57150</xdr:rowOff>
    </xdr:from>
    <xdr:to>
      <xdr:col>52</xdr:col>
      <xdr:colOff>380974</xdr:colOff>
      <xdr:row>48</xdr:row>
      <xdr:rowOff>266674</xdr:rowOff>
    </xdr:to>
    <xdr:pic>
      <xdr:nvPicPr>
        <xdr:cNvPr id="6" name="Grafik 5"/>
        <xdr:cNvPicPr>
          <a:picLocks noChangeAspect="1"/>
        </xdr:cNvPicPr>
      </xdr:nvPicPr>
      <xdr:blipFill>
        <a:blip xmlns:r="http://schemas.openxmlformats.org/officeDocument/2006/relationships" r:embed="rId2"/>
        <a:stretch>
          <a:fillRect/>
        </a:stretch>
      </xdr:blipFill>
      <xdr:spPr>
        <a:xfrm>
          <a:off x="21450300" y="8248650"/>
          <a:ext cx="209524" cy="209524"/>
        </a:xfrm>
        <a:prstGeom prst="rect">
          <a:avLst/>
        </a:prstGeom>
      </xdr:spPr>
    </xdr:pic>
    <xdr:clientData/>
  </xdr:twoCellAnchor>
  <xdr:twoCellAnchor>
    <xdr:from>
      <xdr:col>52</xdr:col>
      <xdr:colOff>180974</xdr:colOff>
      <xdr:row>50</xdr:row>
      <xdr:rowOff>28575</xdr:rowOff>
    </xdr:from>
    <xdr:to>
      <xdr:col>52</xdr:col>
      <xdr:colOff>380974</xdr:colOff>
      <xdr:row>50</xdr:row>
      <xdr:rowOff>266670</xdr:rowOff>
    </xdr:to>
    <xdr:pic>
      <xdr:nvPicPr>
        <xdr:cNvPr id="7" name="Grafik 6"/>
        <xdr:cNvPicPr>
          <a:picLocks noChangeAspect="1"/>
        </xdr:cNvPicPr>
      </xdr:nvPicPr>
      <xdr:blipFill>
        <a:blip xmlns:r="http://schemas.openxmlformats.org/officeDocument/2006/relationships" r:embed="rId3"/>
        <a:stretch>
          <a:fillRect/>
        </a:stretch>
      </xdr:blipFill>
      <xdr:spPr>
        <a:xfrm>
          <a:off x="21459824" y="8753475"/>
          <a:ext cx="200000" cy="238095"/>
        </a:xfrm>
        <a:prstGeom prst="rect">
          <a:avLst/>
        </a:prstGeom>
      </xdr:spPr>
    </xdr:pic>
    <xdr:clientData/>
  </xdr:twoCellAnchor>
  <xdr:twoCellAnchor>
    <xdr:from>
      <xdr:col>7</xdr:col>
      <xdr:colOff>280983</xdr:colOff>
      <xdr:row>0</xdr:row>
      <xdr:rowOff>133350</xdr:rowOff>
    </xdr:from>
    <xdr:to>
      <xdr:col>13</xdr:col>
      <xdr:colOff>547682</xdr:colOff>
      <xdr:row>6</xdr:row>
      <xdr:rowOff>89054</xdr:rowOff>
    </xdr:to>
    <xdr:grpSp>
      <xdr:nvGrpSpPr>
        <xdr:cNvPr id="16" name="Gruppieren 15"/>
        <xdr:cNvGrpSpPr/>
      </xdr:nvGrpSpPr>
      <xdr:grpSpPr>
        <a:xfrm>
          <a:off x="2747958" y="133350"/>
          <a:ext cx="2505074" cy="1689254"/>
          <a:chOff x="2833683" y="95250"/>
          <a:chExt cx="2505074" cy="1679729"/>
        </a:xfrm>
      </xdr:grpSpPr>
      <xdr:pic>
        <xdr:nvPicPr>
          <xdr:cNvPr id="2" name="Grafik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33683" y="95250"/>
            <a:ext cx="2505074" cy="1679729"/>
          </a:xfrm>
          <a:prstGeom prst="rect">
            <a:avLst/>
          </a:prstGeom>
          <a:ln w="19050">
            <a:solidFill>
              <a:schemeClr val="accent4"/>
            </a:solidFill>
          </a:ln>
        </xdr:spPr>
      </xdr:pic>
      <xdr:sp macro="" textlink="">
        <xdr:nvSpPr>
          <xdr:cNvPr id="9" name="Textfeld 8"/>
          <xdr:cNvSpPr txBox="1"/>
        </xdr:nvSpPr>
        <xdr:spPr>
          <a:xfrm>
            <a:off x="2844351" y="748572"/>
            <a:ext cx="2482587" cy="966282"/>
          </a:xfrm>
          <a:prstGeom prst="rect">
            <a:avLst/>
          </a:prstGeom>
          <a:gradFill flip="none" rotWithShape="1">
            <a:gsLst>
              <a:gs pos="0">
                <a:srgbClr val="000000">
                  <a:alpha val="20000"/>
                </a:srgbClr>
              </a:gs>
              <a:gs pos="35000">
                <a:srgbClr val="000000">
                  <a:alpha val="25882"/>
                </a:srgbClr>
              </a:gs>
              <a:gs pos="100000">
                <a:srgbClr val="000000">
                  <a:alpha val="40000"/>
                </a:srgbClr>
              </a:gs>
            </a:gsLst>
            <a:lin ang="8100000" scaled="0"/>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36000" bIns="0" rtlCol="0" anchor="t"/>
          <a:lstStyle/>
          <a:p>
            <a:r>
              <a:rPr lang="de-DE" sz="2800" b="1">
                <a:solidFill>
                  <a:schemeClr val="accent4"/>
                </a:solidFill>
              </a:rPr>
              <a:t>Brauwasser-</a:t>
            </a:r>
          </a:p>
          <a:p>
            <a:r>
              <a:rPr lang="de-DE" sz="2800" b="1">
                <a:solidFill>
                  <a:schemeClr val="accent4"/>
                </a:solidFill>
              </a:rPr>
              <a:t>Rechner</a:t>
            </a:r>
          </a:p>
        </xdr:txBody>
      </xdr:sp>
    </xdr:grpSp>
    <xdr:clientData/>
  </xdr:twoCellAnchor>
  <xdr:twoCellAnchor>
    <xdr:from>
      <xdr:col>6</xdr:col>
      <xdr:colOff>314325</xdr:colOff>
      <xdr:row>11</xdr:row>
      <xdr:rowOff>144991</xdr:rowOff>
    </xdr:from>
    <xdr:to>
      <xdr:col>8</xdr:col>
      <xdr:colOff>238124</xdr:colOff>
      <xdr:row>13</xdr:row>
      <xdr:rowOff>162983</xdr:rowOff>
    </xdr:to>
    <xdr:grpSp>
      <xdr:nvGrpSpPr>
        <xdr:cNvPr id="8" name="Gruppieren 7"/>
        <xdr:cNvGrpSpPr/>
      </xdr:nvGrpSpPr>
      <xdr:grpSpPr>
        <a:xfrm>
          <a:off x="2428875" y="2926291"/>
          <a:ext cx="628649" cy="418042"/>
          <a:chOff x="6572250" y="1983316"/>
          <a:chExt cx="628649" cy="418042"/>
        </a:xfrm>
      </xdr:grpSpPr>
      <xdr:sp macro="" textlink="'Wasserversorger &amp; Aufbereitung'!BK30">
        <xdr:nvSpPr>
          <xdr:cNvPr id="18" name="Textfeld 17"/>
          <xdr:cNvSpPr txBox="1"/>
        </xdr:nvSpPr>
        <xdr:spPr>
          <a:xfrm>
            <a:off x="6572250" y="1983316"/>
            <a:ext cx="628649" cy="418042"/>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2C29C4D1-9806-4A17-91F7-39237F1A341E}" type="TxLink">
              <a:rPr lang="en-US" sz="1600" b="1" i="0" u="none" strike="noStrike">
                <a:solidFill>
                  <a:srgbClr val="000000"/>
                </a:solidFill>
                <a:latin typeface="Calibri"/>
                <a:cs typeface="Calibri"/>
              </a:rPr>
              <a:pPr algn="ctr"/>
              <a:t>1,29</a:t>
            </a:fld>
            <a:endParaRPr lang="de-DE" sz="1600" b="1"/>
          </a:p>
        </xdr:txBody>
      </xdr:sp>
      <xdr:sp macro="" textlink="">
        <xdr:nvSpPr>
          <xdr:cNvPr id="19" name="Rechteck 18"/>
          <xdr:cNvSpPr/>
        </xdr:nvSpPr>
        <xdr:spPr>
          <a:xfrm>
            <a:off x="6598487" y="1997045"/>
            <a:ext cx="591494" cy="390280"/>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grpSp>
    <xdr:clientData/>
  </xdr:twoCellAnchor>
  <xdr:twoCellAnchor>
    <xdr:from>
      <xdr:col>5</xdr:col>
      <xdr:colOff>342900</xdr:colOff>
      <xdr:row>32</xdr:row>
      <xdr:rowOff>190500</xdr:rowOff>
    </xdr:from>
    <xdr:to>
      <xdr:col>8</xdr:col>
      <xdr:colOff>323850</xdr:colOff>
      <xdr:row>35</xdr:row>
      <xdr:rowOff>0</xdr:rowOff>
    </xdr:to>
    <xdr:grpSp>
      <xdr:nvGrpSpPr>
        <xdr:cNvPr id="12" name="Gruppieren 11"/>
        <xdr:cNvGrpSpPr/>
      </xdr:nvGrpSpPr>
      <xdr:grpSpPr>
        <a:xfrm>
          <a:off x="2105025" y="7820025"/>
          <a:ext cx="1038225" cy="457200"/>
          <a:chOff x="2105025" y="8191500"/>
          <a:chExt cx="1038225" cy="504825"/>
        </a:xfrm>
      </xdr:grpSpPr>
      <xdr:sp macro="" textlink="'Wasserversorger &amp; Aufbereitung'!BK32">
        <xdr:nvSpPr>
          <xdr:cNvPr id="21" name="Textfeld 20"/>
          <xdr:cNvSpPr txBox="1"/>
        </xdr:nvSpPr>
        <xdr:spPr>
          <a:xfrm>
            <a:off x="2105025" y="8191500"/>
            <a:ext cx="1038225" cy="504825"/>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242150D5-04AD-40BF-80E1-EB6A594E1E6A}" type="TxLink">
              <a:rPr lang="en-US" sz="1600" b="1" i="0" u="none" strike="noStrike">
                <a:solidFill>
                  <a:srgbClr val="000000"/>
                </a:solidFill>
                <a:latin typeface="Calibri"/>
                <a:cs typeface="Calibri"/>
              </a:rPr>
              <a:pPr algn="ctr"/>
              <a:t>3,1</a:t>
            </a:fld>
            <a:endParaRPr lang="de-DE" sz="1600"/>
          </a:p>
        </xdr:txBody>
      </xdr:sp>
      <xdr:sp macro="" textlink="">
        <xdr:nvSpPr>
          <xdr:cNvPr id="20" name="Rechteck 19"/>
          <xdr:cNvSpPr/>
        </xdr:nvSpPr>
        <xdr:spPr>
          <a:xfrm>
            <a:off x="2143579" y="8210696"/>
            <a:ext cx="994229" cy="483813"/>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grpSp>
    <xdr:clientData/>
  </xdr:twoCellAnchor>
  <xdr:twoCellAnchor>
    <xdr:from>
      <xdr:col>41</xdr:col>
      <xdr:colOff>296068</xdr:colOff>
      <xdr:row>44</xdr:row>
      <xdr:rowOff>256909</xdr:rowOff>
    </xdr:from>
    <xdr:to>
      <xdr:col>51</xdr:col>
      <xdr:colOff>836333</xdr:colOff>
      <xdr:row>51</xdr:row>
      <xdr:rowOff>52916</xdr:rowOff>
    </xdr:to>
    <xdr:grpSp>
      <xdr:nvGrpSpPr>
        <xdr:cNvPr id="30" name="Gruppieren 29"/>
        <xdr:cNvGrpSpPr/>
      </xdr:nvGrpSpPr>
      <xdr:grpSpPr>
        <a:xfrm>
          <a:off x="20698618" y="10334359"/>
          <a:ext cx="5417065" cy="1281907"/>
          <a:chOff x="17311688" y="9394031"/>
          <a:chExt cx="6093076" cy="1365789"/>
        </a:xfrm>
      </xdr:grpSpPr>
      <xdr:pic>
        <xdr:nvPicPr>
          <xdr:cNvPr id="28" name="Grafik 27"/>
          <xdr:cNvPicPr>
            <a:picLocks noChangeAspect="1"/>
          </xdr:cNvPicPr>
        </xdr:nvPicPr>
        <xdr:blipFill>
          <a:blip xmlns:r="http://schemas.openxmlformats.org/officeDocument/2006/relationships" r:embed="rId5"/>
          <a:stretch>
            <a:fillRect/>
          </a:stretch>
        </xdr:blipFill>
        <xdr:spPr>
          <a:xfrm>
            <a:off x="19061907" y="9394031"/>
            <a:ext cx="4342857" cy="914286"/>
          </a:xfrm>
          <a:prstGeom prst="rect">
            <a:avLst/>
          </a:prstGeom>
          <a:ln>
            <a:solidFill>
              <a:schemeClr val="bg1">
                <a:lumMod val="85000"/>
              </a:schemeClr>
            </a:solidFill>
          </a:ln>
        </xdr:spPr>
      </xdr:pic>
      <xdr:sp macro="" textlink="">
        <xdr:nvSpPr>
          <xdr:cNvPr id="27" name="Textfeld 26"/>
          <xdr:cNvSpPr txBox="1"/>
        </xdr:nvSpPr>
        <xdr:spPr>
          <a:xfrm>
            <a:off x="17311688" y="9727405"/>
            <a:ext cx="3750469" cy="10324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t>Beispiel: </a:t>
            </a:r>
          </a:p>
          <a:p>
            <a:r>
              <a:rPr lang="de-DE" sz="1100"/>
              <a:t>Um die gewünschte Restalkalität von 1 °dH zu erreichen, würden 1,9 ml 80%ige Milchsäure ODER 92g Sauermalz benötigt ODER Verschnitt mit 19 Litern Entionisiertem Wasser</a:t>
            </a:r>
          </a:p>
        </xdr:txBody>
      </xdr:sp>
    </xdr:grpSp>
    <xdr:clientData/>
  </xdr:twoCellAnchor>
  <xdr:twoCellAnchor>
    <xdr:from>
      <xdr:col>53</xdr:col>
      <xdr:colOff>542925</xdr:colOff>
      <xdr:row>46</xdr:row>
      <xdr:rowOff>28575</xdr:rowOff>
    </xdr:from>
    <xdr:to>
      <xdr:col>53</xdr:col>
      <xdr:colOff>809595</xdr:colOff>
      <xdr:row>51</xdr:row>
      <xdr:rowOff>28546</xdr:rowOff>
    </xdr:to>
    <xdr:grpSp>
      <xdr:nvGrpSpPr>
        <xdr:cNvPr id="35" name="Gruppieren 34"/>
        <xdr:cNvGrpSpPr/>
      </xdr:nvGrpSpPr>
      <xdr:grpSpPr>
        <a:xfrm>
          <a:off x="27193875" y="10639425"/>
          <a:ext cx="266670" cy="952471"/>
          <a:chOff x="24717375" y="9315450"/>
          <a:chExt cx="266670" cy="1028671"/>
        </a:xfrm>
      </xdr:grpSpPr>
      <xdr:pic>
        <xdr:nvPicPr>
          <xdr:cNvPr id="32" name="Grafik 31"/>
          <xdr:cNvPicPr>
            <a:picLocks noChangeAspect="1"/>
          </xdr:cNvPicPr>
        </xdr:nvPicPr>
        <xdr:blipFill>
          <a:blip xmlns:r="http://schemas.openxmlformats.org/officeDocument/2006/relationships" r:embed="rId6"/>
          <a:stretch>
            <a:fillRect/>
          </a:stretch>
        </xdr:blipFill>
        <xdr:spPr>
          <a:xfrm>
            <a:off x="24745950" y="10115550"/>
            <a:ext cx="238095" cy="228571"/>
          </a:xfrm>
          <a:prstGeom prst="rect">
            <a:avLst/>
          </a:prstGeom>
        </xdr:spPr>
      </xdr:pic>
      <xdr:pic>
        <xdr:nvPicPr>
          <xdr:cNvPr id="33" name="Grafik 32"/>
          <xdr:cNvPicPr>
            <a:picLocks noChangeAspect="1"/>
          </xdr:cNvPicPr>
        </xdr:nvPicPr>
        <xdr:blipFill>
          <a:blip xmlns:r="http://schemas.openxmlformats.org/officeDocument/2006/relationships" r:embed="rId7"/>
          <a:stretch>
            <a:fillRect/>
          </a:stretch>
        </xdr:blipFill>
        <xdr:spPr>
          <a:xfrm>
            <a:off x="24745950" y="9734550"/>
            <a:ext cx="209524" cy="247619"/>
          </a:xfrm>
          <a:prstGeom prst="rect">
            <a:avLst/>
          </a:prstGeom>
        </xdr:spPr>
      </xdr:pic>
      <xdr:pic>
        <xdr:nvPicPr>
          <xdr:cNvPr id="34" name="Grafik 33"/>
          <xdr:cNvPicPr>
            <a:picLocks noChangeAspect="1"/>
          </xdr:cNvPicPr>
        </xdr:nvPicPr>
        <xdr:blipFill>
          <a:blip xmlns:r="http://schemas.openxmlformats.org/officeDocument/2006/relationships" r:embed="rId8"/>
          <a:stretch>
            <a:fillRect/>
          </a:stretch>
        </xdr:blipFill>
        <xdr:spPr>
          <a:xfrm>
            <a:off x="24717375" y="9315450"/>
            <a:ext cx="247619" cy="276190"/>
          </a:xfrm>
          <a:prstGeom prst="rect">
            <a:avLst/>
          </a:prstGeom>
        </xdr:spPr>
      </xdr:pic>
    </xdr:grpSp>
    <xdr:clientData/>
  </xdr:twoCellAnchor>
  <xdr:twoCellAnchor>
    <xdr:from>
      <xdr:col>1</xdr:col>
      <xdr:colOff>124620</xdr:colOff>
      <xdr:row>5</xdr:row>
      <xdr:rowOff>164062</xdr:rowOff>
    </xdr:from>
    <xdr:to>
      <xdr:col>13</xdr:col>
      <xdr:colOff>426245</xdr:colOff>
      <xdr:row>27</xdr:row>
      <xdr:rowOff>13250</xdr:rowOff>
    </xdr:to>
    <xdr:grpSp>
      <xdr:nvGrpSpPr>
        <xdr:cNvPr id="17" name="Gruppieren 16"/>
        <xdr:cNvGrpSpPr/>
      </xdr:nvGrpSpPr>
      <xdr:grpSpPr>
        <a:xfrm>
          <a:off x="353220" y="1697587"/>
          <a:ext cx="4778375" cy="4783138"/>
          <a:chOff x="338932" y="1694014"/>
          <a:chExt cx="4766469" cy="4802188"/>
        </a:xfrm>
      </xdr:grpSpPr>
      <xdr:graphicFrame macro="">
        <xdr:nvGraphicFramePr>
          <xdr:cNvPr id="14" name="Diagramm 13"/>
          <xdr:cNvGraphicFramePr>
            <a:graphicFrameLocks/>
          </xdr:cNvGraphicFramePr>
        </xdr:nvGraphicFramePr>
        <xdr:xfrm>
          <a:off x="350839" y="1699968"/>
          <a:ext cx="4766469" cy="4802188"/>
        </xdr:xfrm>
        <a:graphic>
          <a:graphicData uri="http://schemas.openxmlformats.org/drawingml/2006/chart">
            <c:chart xmlns:c="http://schemas.openxmlformats.org/drawingml/2006/chart" xmlns:r="http://schemas.openxmlformats.org/officeDocument/2006/relationships" r:id="rId9"/>
          </a:graphicData>
        </a:graphic>
      </xdr:graphicFrame>
      <xdr:sp macro="" textlink="">
        <xdr:nvSpPr>
          <xdr:cNvPr id="25" name="Halbbogen 24"/>
          <xdr:cNvSpPr/>
        </xdr:nvSpPr>
        <xdr:spPr>
          <a:xfrm>
            <a:off x="769655" y="2137171"/>
            <a:ext cx="3903438" cy="3959625"/>
          </a:xfrm>
          <a:prstGeom prst="blockArc">
            <a:avLst>
              <a:gd name="adj1" fmla="val 10810994"/>
              <a:gd name="adj2" fmla="val 21599497"/>
              <a:gd name="adj3" fmla="val 15331"/>
            </a:avLst>
          </a:prstGeom>
          <a:noFill/>
          <a:ln w="28575">
            <a:solidFill>
              <a:srgbClr val="401D06"/>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de-DE" sz="1100">
              <a:solidFill>
                <a:schemeClr val="tx1"/>
              </a:solidFill>
            </a:endParaRPr>
          </a:p>
        </xdr:txBody>
      </xdr:sp>
    </xdr:grpSp>
    <xdr:clientData/>
  </xdr:twoCellAnchor>
  <xdr:twoCellAnchor>
    <xdr:from>
      <xdr:col>1</xdr:col>
      <xdr:colOff>42334</xdr:colOff>
      <xdr:row>19</xdr:row>
      <xdr:rowOff>101071</xdr:rowOff>
    </xdr:from>
    <xdr:to>
      <xdr:col>13</xdr:col>
      <xdr:colOff>381265</xdr:colOff>
      <xdr:row>41</xdr:row>
      <xdr:rowOff>100278</xdr:rowOff>
    </xdr:to>
    <xdr:grpSp>
      <xdr:nvGrpSpPr>
        <xdr:cNvPr id="5" name="Gruppieren 4"/>
        <xdr:cNvGrpSpPr/>
      </xdr:nvGrpSpPr>
      <xdr:grpSpPr>
        <a:xfrm>
          <a:off x="270934" y="4720696"/>
          <a:ext cx="4815681" cy="4866482"/>
          <a:chOff x="289984" y="4730221"/>
          <a:chExt cx="4815681" cy="4866482"/>
        </a:xfrm>
      </xdr:grpSpPr>
      <xdr:graphicFrame macro="">
        <xdr:nvGraphicFramePr>
          <xdr:cNvPr id="15" name="Diagramm 14"/>
          <xdr:cNvGraphicFramePr>
            <a:graphicFrameLocks/>
          </xdr:cNvGraphicFramePr>
        </xdr:nvGraphicFramePr>
        <xdr:xfrm>
          <a:off x="289984" y="4730221"/>
          <a:ext cx="4815681" cy="4866482"/>
        </xdr:xfrm>
        <a:graphic>
          <a:graphicData uri="http://schemas.openxmlformats.org/drawingml/2006/chart">
            <c:chart xmlns:c="http://schemas.openxmlformats.org/drawingml/2006/chart" xmlns:r="http://schemas.openxmlformats.org/officeDocument/2006/relationships" r:id="rId10"/>
          </a:graphicData>
        </a:graphic>
      </xdr:graphicFrame>
      <xdr:sp macro="" textlink="">
        <xdr:nvSpPr>
          <xdr:cNvPr id="36" name="Halbbogen 35"/>
          <xdr:cNvSpPr/>
        </xdr:nvSpPr>
        <xdr:spPr>
          <a:xfrm>
            <a:off x="738187" y="5203030"/>
            <a:ext cx="3913188" cy="3918745"/>
          </a:xfrm>
          <a:prstGeom prst="blockArc">
            <a:avLst>
              <a:gd name="adj1" fmla="val 10810994"/>
              <a:gd name="adj2" fmla="val 21599497"/>
              <a:gd name="adj3" fmla="val 15331"/>
            </a:avLst>
          </a:prstGeom>
          <a:noFill/>
          <a:ln w="28575">
            <a:solidFill>
              <a:srgbClr val="401D06"/>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de-DE" sz="1100">
              <a:solidFill>
                <a:schemeClr val="tx1"/>
              </a:solidFill>
            </a:endParaRPr>
          </a:p>
        </xdr:txBody>
      </xdr:sp>
    </xdr:grpSp>
    <xdr:clientData/>
  </xdr:twoCellAnchor>
  <xdr:twoCellAnchor>
    <xdr:from>
      <xdr:col>6</xdr:col>
      <xdr:colOff>232550</xdr:colOff>
      <xdr:row>24</xdr:row>
      <xdr:rowOff>171043</xdr:rowOff>
    </xdr:from>
    <xdr:to>
      <xdr:col>8</xdr:col>
      <xdr:colOff>154141</xdr:colOff>
      <xdr:row>26</xdr:row>
      <xdr:rowOff>85319</xdr:rowOff>
    </xdr:to>
    <xdr:grpSp>
      <xdr:nvGrpSpPr>
        <xdr:cNvPr id="10" name="Gruppieren 9"/>
        <xdr:cNvGrpSpPr/>
      </xdr:nvGrpSpPr>
      <xdr:grpSpPr>
        <a:xfrm>
          <a:off x="2347100" y="5962243"/>
          <a:ext cx="626441" cy="400051"/>
          <a:chOff x="2289950" y="7600543"/>
          <a:chExt cx="626441" cy="400051"/>
        </a:xfrm>
      </xdr:grpSpPr>
      <xdr:sp macro="" textlink="'Wasserversorger &amp; Aufbereitung'!BK28">
        <xdr:nvSpPr>
          <xdr:cNvPr id="11" name="Textfeld 10"/>
          <xdr:cNvSpPr txBox="1"/>
        </xdr:nvSpPr>
        <xdr:spPr>
          <a:xfrm>
            <a:off x="2289950" y="7600543"/>
            <a:ext cx="626441" cy="400051"/>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2CE4B87C-5490-499E-BE9C-0AA9DB77170D}" type="TxLink">
              <a:rPr lang="en-US" sz="1600" b="1" i="0" u="none" strike="noStrike">
                <a:solidFill>
                  <a:srgbClr val="000000"/>
                </a:solidFill>
                <a:latin typeface="Calibri"/>
                <a:cs typeface="Calibri"/>
              </a:rPr>
              <a:pPr algn="ctr"/>
              <a:t>2,50</a:t>
            </a:fld>
            <a:endParaRPr lang="de-DE" sz="1600"/>
          </a:p>
        </xdr:txBody>
      </xdr:sp>
      <xdr:sp macro="" textlink="">
        <xdr:nvSpPr>
          <xdr:cNvPr id="13" name="Rechteck 12"/>
          <xdr:cNvSpPr/>
        </xdr:nvSpPr>
        <xdr:spPr>
          <a:xfrm>
            <a:off x="2307925" y="7608986"/>
            <a:ext cx="591043" cy="368898"/>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grpSp>
    <xdr:clientData/>
  </xdr:twoCellAnchor>
  <xdr:twoCellAnchor>
    <xdr:from>
      <xdr:col>7</xdr:col>
      <xdr:colOff>97896</xdr:colOff>
      <xdr:row>16</xdr:row>
      <xdr:rowOff>44978</xdr:rowOff>
    </xdr:from>
    <xdr:to>
      <xdr:col>8</xdr:col>
      <xdr:colOff>76729</xdr:colOff>
      <xdr:row>17</xdr:row>
      <xdr:rowOff>87311</xdr:rowOff>
    </xdr:to>
    <xdr:sp macro="" textlink="">
      <xdr:nvSpPr>
        <xdr:cNvPr id="22" name="Ellipse 21"/>
        <xdr:cNvSpPr/>
      </xdr:nvSpPr>
      <xdr:spPr>
        <a:xfrm>
          <a:off x="2564871" y="3893078"/>
          <a:ext cx="331258" cy="328083"/>
        </a:xfrm>
        <a:prstGeom prst="ellipse">
          <a:avLst/>
        </a:prstGeom>
        <a:gradFill flip="none" rotWithShape="1">
          <a:gsLst>
            <a:gs pos="0">
              <a:schemeClr val="accent2">
                <a:lumMod val="40000"/>
                <a:lumOff val="60000"/>
              </a:schemeClr>
            </a:gs>
            <a:gs pos="40000">
              <a:schemeClr val="accent2">
                <a:lumMod val="75000"/>
              </a:schemeClr>
            </a:gs>
            <a:gs pos="100000">
              <a:schemeClr val="accent2">
                <a:lumMod val="50000"/>
              </a:schemeClr>
            </a:gs>
          </a:gsLst>
          <a:path path="circle">
            <a:fillToRect r="100000" b="100000"/>
          </a:path>
          <a:tileRect l="-100000" t="-100000"/>
        </a:gra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19846</xdr:colOff>
      <xdr:row>28</xdr:row>
      <xdr:rowOff>199761</xdr:rowOff>
    </xdr:from>
    <xdr:to>
      <xdr:col>7</xdr:col>
      <xdr:colOff>351103</xdr:colOff>
      <xdr:row>30</xdr:row>
      <xdr:rowOff>59531</xdr:rowOff>
    </xdr:to>
    <xdr:sp macro="" textlink="">
      <xdr:nvSpPr>
        <xdr:cNvPr id="23" name="Ellipse 22"/>
        <xdr:cNvSpPr/>
      </xdr:nvSpPr>
      <xdr:spPr>
        <a:xfrm>
          <a:off x="2486821" y="6943461"/>
          <a:ext cx="331257" cy="345545"/>
        </a:xfrm>
        <a:prstGeom prst="ellipse">
          <a:avLst/>
        </a:prstGeom>
        <a:gradFill flip="none" rotWithShape="1">
          <a:gsLst>
            <a:gs pos="0">
              <a:schemeClr val="accent2">
                <a:lumMod val="40000"/>
                <a:lumOff val="60000"/>
              </a:schemeClr>
            </a:gs>
            <a:gs pos="40000">
              <a:schemeClr val="accent2">
                <a:lumMod val="75000"/>
              </a:schemeClr>
            </a:gs>
            <a:gs pos="100000">
              <a:schemeClr val="accent2">
                <a:lumMod val="50000"/>
              </a:schemeClr>
            </a:gs>
          </a:gsLst>
          <a:path path="circle">
            <a:fillToRect r="100000" b="100000"/>
          </a:path>
          <a:tileRect l="-100000" t="-100000"/>
        </a:gra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313531</xdr:colOff>
      <xdr:row>10</xdr:row>
      <xdr:rowOff>139068</xdr:rowOff>
    </xdr:from>
    <xdr:to>
      <xdr:col>12</xdr:col>
      <xdr:colOff>65881</xdr:colOff>
      <xdr:row>28</xdr:row>
      <xdr:rowOff>61118</xdr:rowOff>
    </xdr:to>
    <xdr:sp macro="" textlink="">
      <xdr:nvSpPr>
        <xdr:cNvPr id="70" name="Kreis 69"/>
        <xdr:cNvSpPr/>
      </xdr:nvSpPr>
      <xdr:spPr>
        <a:xfrm rot="10800000">
          <a:off x="894556" y="2548893"/>
          <a:ext cx="3524250" cy="3541550"/>
        </a:xfrm>
        <a:prstGeom prst="pie">
          <a:avLst>
            <a:gd name="adj1" fmla="val 0"/>
            <a:gd name="adj2" fmla="val 10806794"/>
          </a:avLst>
        </a:prstGeom>
        <a:gradFill flip="none" rotWithShape="1">
          <a:gsLst>
            <a:gs pos="0">
              <a:schemeClr val="bg1">
                <a:lumMod val="95000"/>
              </a:schemeClr>
            </a:gs>
            <a:gs pos="48000">
              <a:schemeClr val="tx1">
                <a:lumMod val="50000"/>
                <a:lumOff val="50000"/>
              </a:schemeClr>
            </a:gs>
            <a:gs pos="100000">
              <a:schemeClr val="tx1">
                <a:lumMod val="75000"/>
                <a:lumOff val="25000"/>
              </a:schemeClr>
            </a:gs>
          </a:gsLst>
          <a:path path="circle">
            <a:fillToRect l="50000" t="-80000" r="50000" b="180000"/>
          </a:path>
          <a:tileRect/>
        </a:gradFill>
        <a:ln w="28575">
          <a:solidFill>
            <a:srgbClr val="401D0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editAs="oneCell">
    <xdr:from>
      <xdr:col>33</xdr:col>
      <xdr:colOff>447675</xdr:colOff>
      <xdr:row>1</xdr:row>
      <xdr:rowOff>314325</xdr:rowOff>
    </xdr:from>
    <xdr:to>
      <xdr:col>41</xdr:col>
      <xdr:colOff>114300</xdr:colOff>
      <xdr:row>16</xdr:row>
      <xdr:rowOff>104775</xdr:rowOff>
    </xdr:to>
    <xdr:pic>
      <xdr:nvPicPr>
        <xdr:cNvPr id="2" name="exp_maischeph_dia1" descr="https://maischemalzundmehr.de/bilder/exp_maischeph_diamalze.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25925" y="504825"/>
          <a:ext cx="5762625" cy="323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33</xdr:col>
      <xdr:colOff>447675</xdr:colOff>
      <xdr:row>17</xdr:row>
      <xdr:rowOff>152400</xdr:rowOff>
    </xdr:from>
    <xdr:to>
      <xdr:col>41</xdr:col>
      <xdr:colOff>114300</xdr:colOff>
      <xdr:row>33</xdr:row>
      <xdr:rowOff>190500</xdr:rowOff>
    </xdr:to>
    <xdr:pic>
      <xdr:nvPicPr>
        <xdr:cNvPr id="3" name="exp_maischeph_dia2" descr="https://maischemalzundmehr.de/bilder/exp_maischeph_diacara.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925925" y="3990975"/>
          <a:ext cx="5762625" cy="323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83609</xdr:colOff>
      <xdr:row>9</xdr:row>
      <xdr:rowOff>142346</xdr:rowOff>
    </xdr:from>
    <xdr:to>
      <xdr:col>12</xdr:col>
      <xdr:colOff>301625</xdr:colOff>
      <xdr:row>29</xdr:row>
      <xdr:rowOff>103453</xdr:rowOff>
    </xdr:to>
    <xdr:grpSp>
      <xdr:nvGrpSpPr>
        <xdr:cNvPr id="4" name="Gruppieren 3"/>
        <xdr:cNvGrpSpPr/>
      </xdr:nvGrpSpPr>
      <xdr:grpSpPr>
        <a:xfrm>
          <a:off x="664634" y="2409296"/>
          <a:ext cx="3989916" cy="3942557"/>
          <a:chOff x="667809" y="2415646"/>
          <a:chExt cx="4015316" cy="3974307"/>
        </a:xfrm>
      </xdr:grpSpPr>
      <xdr:graphicFrame macro="">
        <xdr:nvGraphicFramePr>
          <xdr:cNvPr id="87" name="Diagramm 86"/>
          <xdr:cNvGraphicFramePr>
            <a:graphicFrameLocks/>
          </xdr:cNvGraphicFramePr>
        </xdr:nvGraphicFramePr>
        <xdr:xfrm>
          <a:off x="667809" y="2415646"/>
          <a:ext cx="4015316" cy="3974307"/>
        </xdr:xfrm>
        <a:graphic>
          <a:graphicData uri="http://schemas.openxmlformats.org/drawingml/2006/chart">
            <c:chart xmlns:c="http://schemas.openxmlformats.org/drawingml/2006/chart" xmlns:r="http://schemas.openxmlformats.org/officeDocument/2006/relationships" r:id="rId3"/>
          </a:graphicData>
        </a:graphic>
      </xdr:graphicFrame>
      <xdr:sp macro="" textlink="">
        <xdr:nvSpPr>
          <xdr:cNvPr id="88" name="Halbbogen 87"/>
          <xdr:cNvSpPr/>
        </xdr:nvSpPr>
        <xdr:spPr>
          <a:xfrm>
            <a:off x="770221" y="2498659"/>
            <a:ext cx="3833529" cy="3828574"/>
          </a:xfrm>
          <a:prstGeom prst="blockArc">
            <a:avLst>
              <a:gd name="adj1" fmla="val 10810994"/>
              <a:gd name="adj2" fmla="val 21599497"/>
              <a:gd name="adj3" fmla="val 15331"/>
            </a:avLst>
          </a:prstGeom>
          <a:noFill/>
          <a:ln w="28575">
            <a:solidFill>
              <a:srgbClr val="401D06"/>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de-DE" sz="1100">
              <a:solidFill>
                <a:schemeClr val="tx1"/>
              </a:solidFill>
            </a:endParaRPr>
          </a:p>
        </xdr:txBody>
      </xdr:sp>
    </xdr:grpSp>
    <xdr:clientData/>
  </xdr:twoCellAnchor>
  <xdr:twoCellAnchor>
    <xdr:from>
      <xdr:col>6</xdr:col>
      <xdr:colOff>215901</xdr:colOff>
      <xdr:row>14</xdr:row>
      <xdr:rowOff>107951</xdr:rowOff>
    </xdr:from>
    <xdr:to>
      <xdr:col>8</xdr:col>
      <xdr:colOff>134276</xdr:colOff>
      <xdr:row>16</xdr:row>
      <xdr:rowOff>129770</xdr:rowOff>
    </xdr:to>
    <xdr:sp macro="" textlink="$Y$30">
      <xdr:nvSpPr>
        <xdr:cNvPr id="90" name="Textfeld 89"/>
        <xdr:cNvSpPr txBox="1"/>
      </xdr:nvSpPr>
      <xdr:spPr>
        <a:xfrm>
          <a:off x="2330451" y="3241676"/>
          <a:ext cx="623225" cy="402819"/>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02DF5CE-5D9B-44C5-8C3C-942E328AA839}" type="TxLink">
            <a:rPr lang="en-US" sz="1600" b="1" i="0" u="none" strike="noStrike">
              <a:solidFill>
                <a:srgbClr val="000000"/>
              </a:solidFill>
              <a:latin typeface="Calibri"/>
              <a:cs typeface="Calibri"/>
            </a:rPr>
            <a:pPr algn="ctr"/>
            <a:t>5,69</a:t>
          </a:fld>
          <a:endParaRPr lang="de-DE" sz="1600"/>
        </a:p>
      </xdr:txBody>
    </xdr:sp>
    <xdr:clientData/>
  </xdr:twoCellAnchor>
  <xdr:twoCellAnchor>
    <xdr:from>
      <xdr:col>6</xdr:col>
      <xdr:colOff>233694</xdr:colOff>
      <xdr:row>14</xdr:row>
      <xdr:rowOff>125910</xdr:rowOff>
    </xdr:from>
    <xdr:to>
      <xdr:col>8</xdr:col>
      <xdr:colOff>120173</xdr:colOff>
      <xdr:row>16</xdr:row>
      <xdr:rowOff>111125</xdr:rowOff>
    </xdr:to>
    <xdr:sp macro="" textlink="">
      <xdr:nvSpPr>
        <xdr:cNvPr id="91" name="Rechteck 90"/>
        <xdr:cNvSpPr/>
      </xdr:nvSpPr>
      <xdr:spPr>
        <a:xfrm>
          <a:off x="2360944" y="3262810"/>
          <a:ext cx="597679" cy="366215"/>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26196</xdr:colOff>
      <xdr:row>18</xdr:row>
      <xdr:rowOff>192834</xdr:rowOff>
    </xdr:from>
    <xdr:to>
      <xdr:col>8</xdr:col>
      <xdr:colOff>5028</xdr:colOff>
      <xdr:row>20</xdr:row>
      <xdr:rowOff>132108</xdr:rowOff>
    </xdr:to>
    <xdr:sp macro="" textlink="">
      <xdr:nvSpPr>
        <xdr:cNvPr id="85" name="Ellipse 84"/>
        <xdr:cNvSpPr/>
      </xdr:nvSpPr>
      <xdr:spPr>
        <a:xfrm>
          <a:off x="2493171" y="4164759"/>
          <a:ext cx="331257" cy="329799"/>
        </a:xfrm>
        <a:prstGeom prst="ellipse">
          <a:avLst/>
        </a:prstGeom>
        <a:gradFill flip="none" rotWithShape="1">
          <a:gsLst>
            <a:gs pos="0">
              <a:schemeClr val="accent2">
                <a:lumMod val="40000"/>
                <a:lumOff val="60000"/>
              </a:schemeClr>
            </a:gs>
            <a:gs pos="40000">
              <a:schemeClr val="accent2">
                <a:lumMod val="75000"/>
              </a:schemeClr>
            </a:gs>
            <a:gs pos="100000">
              <a:schemeClr val="accent2">
                <a:lumMod val="50000"/>
              </a:schemeClr>
            </a:gs>
          </a:gsLst>
          <a:path path="circle">
            <a:fillToRect r="100000" b="100000"/>
          </a:path>
          <a:tileRect l="-100000" t="-100000"/>
        </a:gra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5</xdr:col>
      <xdr:colOff>285750</xdr:colOff>
      <xdr:row>24</xdr:row>
      <xdr:rowOff>76200</xdr:rowOff>
    </xdr:from>
    <xdr:to>
      <xdr:col>8</xdr:col>
      <xdr:colOff>266700</xdr:colOff>
      <xdr:row>26</xdr:row>
      <xdr:rowOff>76200</xdr:rowOff>
    </xdr:to>
    <xdr:grpSp>
      <xdr:nvGrpSpPr>
        <xdr:cNvPr id="78" name="Gruppieren 77"/>
        <xdr:cNvGrpSpPr/>
      </xdr:nvGrpSpPr>
      <xdr:grpSpPr>
        <a:xfrm>
          <a:off x="2047875" y="5324475"/>
          <a:ext cx="1038225" cy="400050"/>
          <a:chOff x="2105025" y="8191500"/>
          <a:chExt cx="1038225" cy="504825"/>
        </a:xfrm>
      </xdr:grpSpPr>
      <xdr:sp macro="" textlink="'Wasserversorger &amp; Aufbereitung'!BK32">
        <xdr:nvSpPr>
          <xdr:cNvPr id="79" name="Textfeld 78"/>
          <xdr:cNvSpPr txBox="1"/>
        </xdr:nvSpPr>
        <xdr:spPr>
          <a:xfrm>
            <a:off x="2105025" y="8191500"/>
            <a:ext cx="1038225" cy="504825"/>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242150D5-04AD-40BF-80E1-EB6A594E1E6A}" type="TxLink">
              <a:rPr lang="en-US" sz="1600" b="1" i="0" u="none" strike="noStrike">
                <a:solidFill>
                  <a:srgbClr val="000000"/>
                </a:solidFill>
                <a:latin typeface="Calibri"/>
                <a:cs typeface="Calibri"/>
              </a:rPr>
              <a:pPr algn="ctr"/>
              <a:t>3,1</a:t>
            </a:fld>
            <a:endParaRPr lang="de-DE" sz="1600"/>
          </a:p>
        </xdr:txBody>
      </xdr:sp>
      <xdr:sp macro="" textlink="">
        <xdr:nvSpPr>
          <xdr:cNvPr id="80" name="Rechteck 79"/>
          <xdr:cNvSpPr/>
        </xdr:nvSpPr>
        <xdr:spPr>
          <a:xfrm>
            <a:off x="2143579" y="8210696"/>
            <a:ext cx="994229" cy="483813"/>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grpSp>
    <xdr:clientData/>
  </xdr:twoCellAnchor>
  <xdr:twoCellAnchor>
    <xdr:from>
      <xdr:col>5</xdr:col>
      <xdr:colOff>266700</xdr:colOff>
      <xdr:row>29</xdr:row>
      <xdr:rowOff>114300</xdr:rowOff>
    </xdr:from>
    <xdr:to>
      <xdr:col>8</xdr:col>
      <xdr:colOff>247650</xdr:colOff>
      <xdr:row>31</xdr:row>
      <xdr:rowOff>114300</xdr:rowOff>
    </xdr:to>
    <xdr:grpSp>
      <xdr:nvGrpSpPr>
        <xdr:cNvPr id="98" name="Gruppieren 97"/>
        <xdr:cNvGrpSpPr/>
      </xdr:nvGrpSpPr>
      <xdr:grpSpPr>
        <a:xfrm>
          <a:off x="2028825" y="6362700"/>
          <a:ext cx="1038225" cy="400050"/>
          <a:chOff x="2625725" y="6553200"/>
          <a:chExt cx="1047750" cy="406400"/>
        </a:xfrm>
      </xdr:grpSpPr>
      <xdr:sp macro="" textlink="$X$35">
        <xdr:nvSpPr>
          <xdr:cNvPr id="96" name="Textfeld 95"/>
          <xdr:cNvSpPr txBox="1"/>
        </xdr:nvSpPr>
        <xdr:spPr>
          <a:xfrm>
            <a:off x="2625725" y="6553200"/>
            <a:ext cx="1047750" cy="406400"/>
          </a:xfrm>
          <a:prstGeom prst="rect">
            <a:avLst/>
          </a:prstGeom>
          <a:solidFill>
            <a:srgbClr val="A0EEF2"/>
          </a:solidFill>
          <a:ln w="28575" cmpd="sng">
            <a:solidFill>
              <a:schemeClr val="bg2">
                <a:lumMod val="25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B11E7758-4080-4C62-8D7E-22AA6F52CDEC}" type="TxLink">
              <a:rPr lang="en-US" sz="1600" b="1" i="0" u="none" strike="noStrike">
                <a:solidFill>
                  <a:srgbClr val="000000"/>
                </a:solidFill>
                <a:latin typeface="Calibri"/>
                <a:cs typeface="Calibri"/>
              </a:rPr>
              <a:pPr algn="ctr"/>
              <a:t>-5,4</a:t>
            </a:fld>
            <a:endParaRPr lang="de-DE" sz="1600" b="1"/>
          </a:p>
        </xdr:txBody>
      </xdr:sp>
      <xdr:sp macro="" textlink="">
        <xdr:nvSpPr>
          <xdr:cNvPr id="97" name="Rechteck 96"/>
          <xdr:cNvSpPr/>
        </xdr:nvSpPr>
        <xdr:spPr>
          <a:xfrm>
            <a:off x="2651579" y="6581113"/>
            <a:ext cx="1003754" cy="365788"/>
          </a:xfrm>
          <a:prstGeom prst="rect">
            <a:avLst/>
          </a:prstGeom>
          <a:gradFill flip="none" rotWithShape="1">
            <a:gsLst>
              <a:gs pos="0">
                <a:schemeClr val="accent3">
                  <a:lumMod val="89000"/>
                  <a:alpha val="10000"/>
                </a:schemeClr>
              </a:gs>
              <a:gs pos="51000">
                <a:schemeClr val="bg1">
                  <a:lumMod val="65000"/>
                  <a:alpha val="6000"/>
                </a:schemeClr>
              </a:gs>
              <a:gs pos="97000">
                <a:srgbClr val="66FFFF"/>
              </a:gs>
            </a:gsLst>
            <a:path path="circle">
              <a:fillToRect l="50000" t="50000" r="50000" b="50000"/>
            </a:path>
            <a:tileRect/>
          </a:gra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grpSp>
    <xdr:clientData/>
  </xdr:twoCellAnchor>
  <xdr:twoCellAnchor>
    <xdr:from>
      <xdr:col>7</xdr:col>
      <xdr:colOff>276225</xdr:colOff>
      <xdr:row>0</xdr:row>
      <xdr:rowOff>133350</xdr:rowOff>
    </xdr:from>
    <xdr:to>
      <xdr:col>13</xdr:col>
      <xdr:colOff>542924</xdr:colOff>
      <xdr:row>7</xdr:row>
      <xdr:rowOff>31904</xdr:rowOff>
    </xdr:to>
    <xdr:grpSp>
      <xdr:nvGrpSpPr>
        <xdr:cNvPr id="20" name="Gruppieren 19"/>
        <xdr:cNvGrpSpPr/>
      </xdr:nvGrpSpPr>
      <xdr:grpSpPr>
        <a:xfrm>
          <a:off x="2743200" y="133350"/>
          <a:ext cx="2505074" cy="1689254"/>
          <a:chOff x="2833683" y="95250"/>
          <a:chExt cx="2505074" cy="1679729"/>
        </a:xfrm>
      </xdr:grpSpPr>
      <xdr:pic>
        <xdr:nvPicPr>
          <xdr:cNvPr id="21" name="Grafik 2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33683" y="95250"/>
            <a:ext cx="2505074" cy="1679729"/>
          </a:xfrm>
          <a:prstGeom prst="rect">
            <a:avLst/>
          </a:prstGeom>
          <a:ln w="19050">
            <a:solidFill>
              <a:schemeClr val="accent4"/>
            </a:solidFill>
          </a:ln>
        </xdr:spPr>
      </xdr:pic>
      <xdr:sp macro="" textlink="">
        <xdr:nvSpPr>
          <xdr:cNvPr id="22" name="Textfeld 21"/>
          <xdr:cNvSpPr txBox="1"/>
        </xdr:nvSpPr>
        <xdr:spPr>
          <a:xfrm>
            <a:off x="2844351" y="748572"/>
            <a:ext cx="2482587" cy="966282"/>
          </a:xfrm>
          <a:prstGeom prst="rect">
            <a:avLst/>
          </a:prstGeom>
          <a:gradFill flip="none" rotWithShape="1">
            <a:gsLst>
              <a:gs pos="0">
                <a:srgbClr val="000000">
                  <a:alpha val="20000"/>
                </a:srgbClr>
              </a:gs>
              <a:gs pos="35000">
                <a:srgbClr val="000000">
                  <a:alpha val="25882"/>
                </a:srgbClr>
              </a:gs>
              <a:gs pos="100000">
                <a:srgbClr val="000000">
                  <a:alpha val="40000"/>
                </a:srgbClr>
              </a:gs>
            </a:gsLst>
            <a:lin ang="8100000" scaled="0"/>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36000" bIns="0" rtlCol="0" anchor="t"/>
          <a:lstStyle/>
          <a:p>
            <a:r>
              <a:rPr lang="de-DE" sz="2800" b="1">
                <a:solidFill>
                  <a:schemeClr val="accent4"/>
                </a:solidFill>
              </a:rPr>
              <a:t>Brauwasser-</a:t>
            </a:r>
          </a:p>
          <a:p>
            <a:r>
              <a:rPr lang="de-DE" sz="2800" b="1">
                <a:solidFill>
                  <a:schemeClr val="accent4"/>
                </a:solidFill>
              </a:rPr>
              <a:t>Rechner</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38</xdr:col>
      <xdr:colOff>19050</xdr:colOff>
      <xdr:row>8</xdr:row>
      <xdr:rowOff>152400</xdr:rowOff>
    </xdr:from>
    <xdr:to>
      <xdr:col>48</xdr:col>
      <xdr:colOff>82288</xdr:colOff>
      <xdr:row>30</xdr:row>
      <xdr:rowOff>161925</xdr:rowOff>
    </xdr:to>
    <xdr:pic>
      <xdr:nvPicPr>
        <xdr:cNvPr id="44" name="Grafik 43"/>
        <xdr:cNvPicPr>
          <a:picLocks noChangeAspect="1"/>
        </xdr:cNvPicPr>
      </xdr:nvPicPr>
      <xdr:blipFill>
        <a:blip xmlns:r="http://schemas.openxmlformats.org/officeDocument/2006/relationships" r:embed="rId1"/>
        <a:stretch>
          <a:fillRect/>
        </a:stretch>
      </xdr:blipFill>
      <xdr:spPr>
        <a:xfrm>
          <a:off x="30299025" y="1752600"/>
          <a:ext cx="7683238" cy="4200525"/>
        </a:xfrm>
        <a:prstGeom prst="rect">
          <a:avLst/>
        </a:prstGeom>
      </xdr:spPr>
    </xdr:pic>
    <xdr:clientData/>
  </xdr:twoCellAnchor>
  <xdr:twoCellAnchor editAs="oneCell">
    <xdr:from>
      <xdr:col>25</xdr:col>
      <xdr:colOff>266700</xdr:colOff>
      <xdr:row>8</xdr:row>
      <xdr:rowOff>8542</xdr:rowOff>
    </xdr:from>
    <xdr:to>
      <xdr:col>37</xdr:col>
      <xdr:colOff>419100</xdr:colOff>
      <xdr:row>29</xdr:row>
      <xdr:rowOff>157172</xdr:rowOff>
    </xdr:to>
    <xdr:pic>
      <xdr:nvPicPr>
        <xdr:cNvPr id="24" name="Grafik 23"/>
        <xdr:cNvPicPr>
          <a:picLocks noChangeAspect="1"/>
        </xdr:cNvPicPr>
      </xdr:nvPicPr>
      <xdr:blipFill>
        <a:blip xmlns:r="http://schemas.openxmlformats.org/officeDocument/2006/relationships" r:embed="rId2"/>
        <a:stretch>
          <a:fillRect/>
        </a:stretch>
      </xdr:blipFill>
      <xdr:spPr>
        <a:xfrm>
          <a:off x="20640675" y="1608742"/>
          <a:ext cx="9296400" cy="4149130"/>
        </a:xfrm>
        <a:prstGeom prst="rect">
          <a:avLst/>
        </a:prstGeom>
      </xdr:spPr>
    </xdr:pic>
    <xdr:clientData/>
  </xdr:twoCellAnchor>
  <xdr:twoCellAnchor editAs="oneCell">
    <xdr:from>
      <xdr:col>1</xdr:col>
      <xdr:colOff>57150</xdr:colOff>
      <xdr:row>4</xdr:row>
      <xdr:rowOff>114300</xdr:rowOff>
    </xdr:from>
    <xdr:to>
      <xdr:col>9</xdr:col>
      <xdr:colOff>161150</xdr:colOff>
      <xdr:row>23</xdr:row>
      <xdr:rowOff>56705</xdr:rowOff>
    </xdr:to>
    <xdr:pic>
      <xdr:nvPicPr>
        <xdr:cNvPr id="3" name="Grafik 2"/>
        <xdr:cNvPicPr>
          <a:picLocks noChangeAspect="1"/>
        </xdr:cNvPicPr>
      </xdr:nvPicPr>
      <xdr:blipFill>
        <a:blip xmlns:r="http://schemas.openxmlformats.org/officeDocument/2006/relationships" r:embed="rId3"/>
        <a:stretch>
          <a:fillRect/>
        </a:stretch>
      </xdr:blipFill>
      <xdr:spPr>
        <a:xfrm>
          <a:off x="314325" y="876300"/>
          <a:ext cx="6200000" cy="3561905"/>
        </a:xfrm>
        <a:prstGeom prst="rect">
          <a:avLst/>
        </a:prstGeom>
      </xdr:spPr>
    </xdr:pic>
    <xdr:clientData/>
  </xdr:twoCellAnchor>
  <xdr:twoCellAnchor editAs="oneCell">
    <xdr:from>
      <xdr:col>1</xdr:col>
      <xdr:colOff>57150</xdr:colOff>
      <xdr:row>23</xdr:row>
      <xdr:rowOff>114300</xdr:rowOff>
    </xdr:from>
    <xdr:to>
      <xdr:col>9</xdr:col>
      <xdr:colOff>94483</xdr:colOff>
      <xdr:row>24</xdr:row>
      <xdr:rowOff>171419</xdr:rowOff>
    </xdr:to>
    <xdr:pic>
      <xdr:nvPicPr>
        <xdr:cNvPr id="4" name="Grafik 3"/>
        <xdr:cNvPicPr>
          <a:picLocks noChangeAspect="1"/>
        </xdr:cNvPicPr>
      </xdr:nvPicPr>
      <xdr:blipFill>
        <a:blip xmlns:r="http://schemas.openxmlformats.org/officeDocument/2006/relationships" r:embed="rId4"/>
        <a:stretch>
          <a:fillRect/>
        </a:stretch>
      </xdr:blipFill>
      <xdr:spPr>
        <a:xfrm>
          <a:off x="314325" y="4495800"/>
          <a:ext cx="6133333" cy="247619"/>
        </a:xfrm>
        <a:prstGeom prst="rect">
          <a:avLst/>
        </a:prstGeom>
      </xdr:spPr>
    </xdr:pic>
    <xdr:clientData/>
  </xdr:twoCellAnchor>
  <xdr:twoCellAnchor editAs="oneCell">
    <xdr:from>
      <xdr:col>1</xdr:col>
      <xdr:colOff>0</xdr:colOff>
      <xdr:row>28</xdr:row>
      <xdr:rowOff>0</xdr:rowOff>
    </xdr:from>
    <xdr:to>
      <xdr:col>9</xdr:col>
      <xdr:colOff>27809</xdr:colOff>
      <xdr:row>29</xdr:row>
      <xdr:rowOff>19024</xdr:rowOff>
    </xdr:to>
    <xdr:pic>
      <xdr:nvPicPr>
        <xdr:cNvPr id="5" name="Grafik 4"/>
        <xdr:cNvPicPr>
          <a:picLocks noChangeAspect="1"/>
        </xdr:cNvPicPr>
      </xdr:nvPicPr>
      <xdr:blipFill>
        <a:blip xmlns:r="http://schemas.openxmlformats.org/officeDocument/2006/relationships" r:embed="rId5"/>
        <a:stretch>
          <a:fillRect/>
        </a:stretch>
      </xdr:blipFill>
      <xdr:spPr>
        <a:xfrm>
          <a:off x="257175" y="5334000"/>
          <a:ext cx="6123809" cy="209524"/>
        </a:xfrm>
        <a:prstGeom prst="rect">
          <a:avLst/>
        </a:prstGeom>
      </xdr:spPr>
    </xdr:pic>
    <xdr:clientData/>
  </xdr:twoCellAnchor>
  <xdr:twoCellAnchor editAs="oneCell">
    <xdr:from>
      <xdr:col>1</xdr:col>
      <xdr:colOff>0</xdr:colOff>
      <xdr:row>29</xdr:row>
      <xdr:rowOff>0</xdr:rowOff>
    </xdr:from>
    <xdr:to>
      <xdr:col>9</xdr:col>
      <xdr:colOff>18286</xdr:colOff>
      <xdr:row>30</xdr:row>
      <xdr:rowOff>19024</xdr:rowOff>
    </xdr:to>
    <xdr:pic>
      <xdr:nvPicPr>
        <xdr:cNvPr id="6" name="Grafik 5"/>
        <xdr:cNvPicPr>
          <a:picLocks noChangeAspect="1"/>
        </xdr:cNvPicPr>
      </xdr:nvPicPr>
      <xdr:blipFill>
        <a:blip xmlns:r="http://schemas.openxmlformats.org/officeDocument/2006/relationships" r:embed="rId6"/>
        <a:stretch>
          <a:fillRect/>
        </a:stretch>
      </xdr:blipFill>
      <xdr:spPr>
        <a:xfrm>
          <a:off x="257175" y="5524500"/>
          <a:ext cx="6114286" cy="209524"/>
        </a:xfrm>
        <a:prstGeom prst="rect">
          <a:avLst/>
        </a:prstGeom>
      </xdr:spPr>
    </xdr:pic>
    <xdr:clientData/>
  </xdr:twoCellAnchor>
  <xdr:twoCellAnchor editAs="oneCell">
    <xdr:from>
      <xdr:col>1</xdr:col>
      <xdr:colOff>0</xdr:colOff>
      <xdr:row>30</xdr:row>
      <xdr:rowOff>0</xdr:rowOff>
    </xdr:from>
    <xdr:to>
      <xdr:col>9</xdr:col>
      <xdr:colOff>37333</xdr:colOff>
      <xdr:row>31</xdr:row>
      <xdr:rowOff>38071</xdr:rowOff>
    </xdr:to>
    <xdr:pic>
      <xdr:nvPicPr>
        <xdr:cNvPr id="7" name="Grafik 6"/>
        <xdr:cNvPicPr>
          <a:picLocks noChangeAspect="1"/>
        </xdr:cNvPicPr>
      </xdr:nvPicPr>
      <xdr:blipFill>
        <a:blip xmlns:r="http://schemas.openxmlformats.org/officeDocument/2006/relationships" r:embed="rId7"/>
        <a:stretch>
          <a:fillRect/>
        </a:stretch>
      </xdr:blipFill>
      <xdr:spPr>
        <a:xfrm>
          <a:off x="257175" y="5715000"/>
          <a:ext cx="6133333" cy="228571"/>
        </a:xfrm>
        <a:prstGeom prst="rect">
          <a:avLst/>
        </a:prstGeom>
      </xdr:spPr>
    </xdr:pic>
    <xdr:clientData/>
  </xdr:twoCellAnchor>
  <xdr:twoCellAnchor editAs="oneCell">
    <xdr:from>
      <xdr:col>10</xdr:col>
      <xdr:colOff>0</xdr:colOff>
      <xdr:row>5</xdr:row>
      <xdr:rowOff>0</xdr:rowOff>
    </xdr:from>
    <xdr:to>
      <xdr:col>14</xdr:col>
      <xdr:colOff>228600</xdr:colOff>
      <xdr:row>28</xdr:row>
      <xdr:rowOff>51987</xdr:rowOff>
    </xdr:to>
    <xdr:pic>
      <xdr:nvPicPr>
        <xdr:cNvPr id="8" name="Grafik 7"/>
        <xdr:cNvPicPr>
          <a:picLocks noChangeAspect="1"/>
        </xdr:cNvPicPr>
      </xdr:nvPicPr>
      <xdr:blipFill>
        <a:blip xmlns:r="http://schemas.openxmlformats.org/officeDocument/2006/relationships" r:embed="rId8"/>
        <a:stretch>
          <a:fillRect/>
        </a:stretch>
      </xdr:blipFill>
      <xdr:spPr>
        <a:xfrm>
          <a:off x="6915150" y="1028700"/>
          <a:ext cx="3276600" cy="4433487"/>
        </a:xfrm>
        <a:prstGeom prst="rect">
          <a:avLst/>
        </a:prstGeom>
      </xdr:spPr>
    </xdr:pic>
    <xdr:clientData/>
  </xdr:twoCellAnchor>
  <xdr:twoCellAnchor>
    <xdr:from>
      <xdr:col>33</xdr:col>
      <xdr:colOff>628650</xdr:colOff>
      <xdr:row>17</xdr:row>
      <xdr:rowOff>142875</xdr:rowOff>
    </xdr:from>
    <xdr:to>
      <xdr:col>34</xdr:col>
      <xdr:colOff>323850</xdr:colOff>
      <xdr:row>19</xdr:row>
      <xdr:rowOff>57150</xdr:rowOff>
    </xdr:to>
    <xdr:sp macro="" textlink="">
      <xdr:nvSpPr>
        <xdr:cNvPr id="22" name="Ellipse 21"/>
        <xdr:cNvSpPr/>
      </xdr:nvSpPr>
      <xdr:spPr>
        <a:xfrm>
          <a:off x="27098625" y="3457575"/>
          <a:ext cx="457200" cy="295275"/>
        </a:xfrm>
        <a:prstGeom prst="ellipse">
          <a:avLst/>
        </a:prstGeom>
        <a:noFill/>
        <a:ln w="28575">
          <a:solidFill>
            <a:srgbClr val="00B0F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de-DE" sz="1100"/>
        </a:p>
      </xdr:txBody>
    </xdr:sp>
    <xdr:clientData/>
  </xdr:twoCellAnchor>
  <xdr:twoCellAnchor>
    <xdr:from>
      <xdr:col>33</xdr:col>
      <xdr:colOff>638175</xdr:colOff>
      <xdr:row>26</xdr:row>
      <xdr:rowOff>47625</xdr:rowOff>
    </xdr:from>
    <xdr:to>
      <xdr:col>34</xdr:col>
      <xdr:colOff>333375</xdr:colOff>
      <xdr:row>27</xdr:row>
      <xdr:rowOff>152400</xdr:rowOff>
    </xdr:to>
    <xdr:sp macro="" textlink="">
      <xdr:nvSpPr>
        <xdr:cNvPr id="23" name="Ellipse 22"/>
        <xdr:cNvSpPr/>
      </xdr:nvSpPr>
      <xdr:spPr>
        <a:xfrm>
          <a:off x="27108150" y="5076825"/>
          <a:ext cx="457200" cy="295275"/>
        </a:xfrm>
        <a:prstGeom prst="ellipse">
          <a:avLst/>
        </a:prstGeom>
        <a:noFill/>
        <a:ln w="28575">
          <a:solidFill>
            <a:srgbClr val="00B0F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de-DE" sz="1100"/>
        </a:p>
      </xdr:txBody>
    </xdr:sp>
    <xdr:clientData/>
  </xdr:twoCellAnchor>
  <xdr:twoCellAnchor editAs="oneCell">
    <xdr:from>
      <xdr:col>55</xdr:col>
      <xdr:colOff>38100</xdr:colOff>
      <xdr:row>5</xdr:row>
      <xdr:rowOff>19050</xdr:rowOff>
    </xdr:from>
    <xdr:to>
      <xdr:col>57</xdr:col>
      <xdr:colOff>31867</xdr:colOff>
      <xdr:row>34</xdr:row>
      <xdr:rowOff>38100</xdr:rowOff>
    </xdr:to>
    <xdr:pic>
      <xdr:nvPicPr>
        <xdr:cNvPr id="31" name="Grafik 30"/>
        <xdr:cNvPicPr>
          <a:picLocks noChangeAspect="1"/>
        </xdr:cNvPicPr>
      </xdr:nvPicPr>
      <xdr:blipFill>
        <a:blip xmlns:r="http://schemas.openxmlformats.org/officeDocument/2006/relationships" r:embed="rId9"/>
        <a:stretch>
          <a:fillRect/>
        </a:stretch>
      </xdr:blipFill>
      <xdr:spPr>
        <a:xfrm>
          <a:off x="29051250" y="1047750"/>
          <a:ext cx="1517767" cy="5543550"/>
        </a:xfrm>
        <a:prstGeom prst="rect">
          <a:avLst/>
        </a:prstGeom>
      </xdr:spPr>
    </xdr:pic>
    <xdr:clientData/>
  </xdr:twoCellAnchor>
  <xdr:twoCellAnchor>
    <xdr:from>
      <xdr:col>4</xdr:col>
      <xdr:colOff>238125</xdr:colOff>
      <xdr:row>16</xdr:row>
      <xdr:rowOff>180975</xdr:rowOff>
    </xdr:from>
    <xdr:to>
      <xdr:col>12</xdr:col>
      <xdr:colOff>542925</xdr:colOff>
      <xdr:row>20</xdr:row>
      <xdr:rowOff>9525</xdr:rowOff>
    </xdr:to>
    <xdr:cxnSp macro="">
      <xdr:nvCxnSpPr>
        <xdr:cNvPr id="32" name="Gerade Verbindung mit Pfeil 31"/>
        <xdr:cNvCxnSpPr/>
      </xdr:nvCxnSpPr>
      <xdr:spPr>
        <a:xfrm>
          <a:off x="2781300" y="3305175"/>
          <a:ext cx="6200775" cy="590550"/>
        </a:xfrm>
        <a:prstGeom prst="straightConnector1">
          <a:avLst/>
        </a:prstGeom>
        <a:ln w="19050">
          <a:headEnd type="stealth"/>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95250</xdr:colOff>
      <xdr:row>7</xdr:row>
      <xdr:rowOff>123825</xdr:rowOff>
    </xdr:from>
    <xdr:to>
      <xdr:col>12</xdr:col>
      <xdr:colOff>571500</xdr:colOff>
      <xdr:row>11</xdr:row>
      <xdr:rowOff>57150</xdr:rowOff>
    </xdr:to>
    <xdr:cxnSp macro="">
      <xdr:nvCxnSpPr>
        <xdr:cNvPr id="34" name="Gerade Verbindung mit Pfeil 33"/>
        <xdr:cNvCxnSpPr/>
      </xdr:nvCxnSpPr>
      <xdr:spPr>
        <a:xfrm>
          <a:off x="2638425" y="1533525"/>
          <a:ext cx="6372225" cy="695325"/>
        </a:xfrm>
        <a:prstGeom prst="straightConnector1">
          <a:avLst/>
        </a:prstGeom>
        <a:ln w="19050">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23</xdr:col>
      <xdr:colOff>0</xdr:colOff>
      <xdr:row>1</xdr:row>
      <xdr:rowOff>1</xdr:rowOff>
    </xdr:from>
    <xdr:to>
      <xdr:col>27</xdr:col>
      <xdr:colOff>314325</xdr:colOff>
      <xdr:row>2</xdr:row>
      <xdr:rowOff>146702</xdr:rowOff>
    </xdr:to>
    <xdr:pic>
      <xdr:nvPicPr>
        <xdr:cNvPr id="36" name="Grafik 35"/>
        <xdr:cNvPicPr>
          <a:picLocks noChangeAspect="1"/>
        </xdr:cNvPicPr>
      </xdr:nvPicPr>
      <xdr:blipFill>
        <a:blip xmlns:r="http://schemas.openxmlformats.org/officeDocument/2006/relationships" r:embed="rId10"/>
        <a:stretch>
          <a:fillRect/>
        </a:stretch>
      </xdr:blipFill>
      <xdr:spPr>
        <a:xfrm>
          <a:off x="16821150" y="190501"/>
          <a:ext cx="3362325" cy="413401"/>
        </a:xfrm>
        <a:prstGeom prst="rect">
          <a:avLst/>
        </a:prstGeom>
      </xdr:spPr>
    </xdr:pic>
    <xdr:clientData/>
  </xdr:twoCellAnchor>
  <xdr:twoCellAnchor>
    <xdr:from>
      <xdr:col>27</xdr:col>
      <xdr:colOff>504825</xdr:colOff>
      <xdr:row>7</xdr:row>
      <xdr:rowOff>0</xdr:rowOff>
    </xdr:from>
    <xdr:to>
      <xdr:col>33</xdr:col>
      <xdr:colOff>705130</xdr:colOff>
      <xdr:row>26</xdr:row>
      <xdr:rowOff>90867</xdr:rowOff>
    </xdr:to>
    <xdr:cxnSp macro="">
      <xdr:nvCxnSpPr>
        <xdr:cNvPr id="19" name="Gerade Verbindung mit Pfeil 18"/>
        <xdr:cNvCxnSpPr>
          <a:endCxn id="23" idx="1"/>
        </xdr:cNvCxnSpPr>
      </xdr:nvCxnSpPr>
      <xdr:spPr>
        <a:xfrm>
          <a:off x="22402800" y="1409700"/>
          <a:ext cx="4772305" cy="3710367"/>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619125</xdr:colOff>
      <xdr:row>5</xdr:row>
      <xdr:rowOff>180975</xdr:rowOff>
    </xdr:from>
    <xdr:to>
      <xdr:col>33</xdr:col>
      <xdr:colOff>695605</xdr:colOff>
      <xdr:row>17</xdr:row>
      <xdr:rowOff>186117</xdr:rowOff>
    </xdr:to>
    <xdr:cxnSp macro="">
      <xdr:nvCxnSpPr>
        <xdr:cNvPr id="29" name="Gerade Verbindung mit Pfeil 28"/>
        <xdr:cNvCxnSpPr>
          <a:endCxn id="22" idx="1"/>
        </xdr:cNvCxnSpPr>
      </xdr:nvCxnSpPr>
      <xdr:spPr>
        <a:xfrm>
          <a:off x="22517100" y="1209675"/>
          <a:ext cx="4648480" cy="2291142"/>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533400</xdr:colOff>
      <xdr:row>6</xdr:row>
      <xdr:rowOff>9525</xdr:rowOff>
    </xdr:from>
    <xdr:to>
      <xdr:col>46</xdr:col>
      <xdr:colOff>600355</xdr:colOff>
      <xdr:row>12</xdr:row>
      <xdr:rowOff>5142</xdr:rowOff>
    </xdr:to>
    <xdr:cxnSp macro="">
      <xdr:nvCxnSpPr>
        <xdr:cNvPr id="33" name="Gerade Verbindung mit Pfeil 32"/>
        <xdr:cNvCxnSpPr>
          <a:endCxn id="35" idx="1"/>
        </xdr:cNvCxnSpPr>
      </xdr:nvCxnSpPr>
      <xdr:spPr>
        <a:xfrm>
          <a:off x="32337375" y="1228725"/>
          <a:ext cx="4638955" cy="1138617"/>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46</xdr:col>
      <xdr:colOff>533400</xdr:colOff>
      <xdr:row>11</xdr:row>
      <xdr:rowOff>152400</xdr:rowOff>
    </xdr:from>
    <xdr:to>
      <xdr:col>47</xdr:col>
      <xdr:colOff>228600</xdr:colOff>
      <xdr:row>13</xdr:row>
      <xdr:rowOff>66675</xdr:rowOff>
    </xdr:to>
    <xdr:sp macro="" textlink="">
      <xdr:nvSpPr>
        <xdr:cNvPr id="35" name="Ellipse 34"/>
        <xdr:cNvSpPr/>
      </xdr:nvSpPr>
      <xdr:spPr>
        <a:xfrm>
          <a:off x="36909375" y="2324100"/>
          <a:ext cx="457200" cy="295275"/>
        </a:xfrm>
        <a:prstGeom prst="ellipse">
          <a:avLst/>
        </a:prstGeom>
        <a:noFill/>
        <a:ln w="28575">
          <a:solidFill>
            <a:srgbClr val="00B0F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de-DE" sz="1100"/>
        </a:p>
      </xdr:txBody>
    </xdr:sp>
    <xdr:clientData/>
  </xdr:twoCellAnchor>
  <xdr:twoCellAnchor editAs="oneCell">
    <xdr:from>
      <xdr:col>15</xdr:col>
      <xdr:colOff>0</xdr:colOff>
      <xdr:row>4</xdr:row>
      <xdr:rowOff>180975</xdr:rowOff>
    </xdr:from>
    <xdr:to>
      <xdr:col>19</xdr:col>
      <xdr:colOff>732952</xdr:colOff>
      <xdr:row>39</xdr:row>
      <xdr:rowOff>151570</xdr:rowOff>
    </xdr:to>
    <xdr:pic>
      <xdr:nvPicPr>
        <xdr:cNvPr id="2" name="Grafik 1"/>
        <xdr:cNvPicPr>
          <a:picLocks noChangeAspect="1"/>
        </xdr:cNvPicPr>
      </xdr:nvPicPr>
      <xdr:blipFill>
        <a:blip xmlns:r="http://schemas.openxmlformats.org/officeDocument/2006/relationships" r:embed="rId11"/>
        <a:stretch>
          <a:fillRect/>
        </a:stretch>
      </xdr:blipFill>
      <xdr:spPr>
        <a:xfrm>
          <a:off x="10725150" y="1019175"/>
          <a:ext cx="3780952" cy="6638095"/>
        </a:xfrm>
        <a:prstGeom prst="rect">
          <a:avLst/>
        </a:prstGeom>
      </xdr:spPr>
    </xdr:pic>
    <xdr:clientData/>
  </xdr:twoCellAnchor>
  <xdr:twoCellAnchor editAs="oneCell">
    <xdr:from>
      <xdr:col>49</xdr:col>
      <xdr:colOff>152400</xdr:colOff>
      <xdr:row>5</xdr:row>
      <xdr:rowOff>123825</xdr:rowOff>
    </xdr:from>
    <xdr:to>
      <xdr:col>54</xdr:col>
      <xdr:colOff>85257</xdr:colOff>
      <xdr:row>40</xdr:row>
      <xdr:rowOff>75373</xdr:rowOff>
    </xdr:to>
    <xdr:pic>
      <xdr:nvPicPr>
        <xdr:cNvPr id="9" name="Grafik 8"/>
        <xdr:cNvPicPr>
          <a:picLocks noChangeAspect="1"/>
        </xdr:cNvPicPr>
      </xdr:nvPicPr>
      <xdr:blipFill>
        <a:blip xmlns:r="http://schemas.openxmlformats.org/officeDocument/2006/relationships" r:embed="rId12"/>
        <a:stretch>
          <a:fillRect/>
        </a:stretch>
      </xdr:blipFill>
      <xdr:spPr>
        <a:xfrm>
          <a:off x="36785550" y="1152525"/>
          <a:ext cx="3742857" cy="6619048"/>
        </a:xfrm>
        <a:prstGeom prst="rect">
          <a:avLst/>
        </a:prstGeom>
      </xdr:spPr>
    </xdr:pic>
    <xdr:clientData/>
  </xdr:twoCellAnchor>
  <xdr:twoCellAnchor editAs="oneCell">
    <xdr:from>
      <xdr:col>21</xdr:col>
      <xdr:colOff>1</xdr:colOff>
      <xdr:row>5</xdr:row>
      <xdr:rowOff>1</xdr:rowOff>
    </xdr:from>
    <xdr:to>
      <xdr:col>24</xdr:col>
      <xdr:colOff>277116</xdr:colOff>
      <xdr:row>31</xdr:row>
      <xdr:rowOff>171451</xdr:rowOff>
    </xdr:to>
    <xdr:pic>
      <xdr:nvPicPr>
        <xdr:cNvPr id="20" name="Grafik 19"/>
        <xdr:cNvPicPr>
          <a:picLocks noChangeAspect="1"/>
        </xdr:cNvPicPr>
      </xdr:nvPicPr>
      <xdr:blipFill>
        <a:blip xmlns:r="http://schemas.openxmlformats.org/officeDocument/2006/relationships" r:embed="rId13"/>
        <a:stretch>
          <a:fillRect/>
        </a:stretch>
      </xdr:blipFill>
      <xdr:spPr>
        <a:xfrm>
          <a:off x="15297151" y="1028701"/>
          <a:ext cx="4591940" cy="5124450"/>
        </a:xfrm>
        <a:prstGeom prst="rect">
          <a:avLst/>
        </a:prstGeom>
      </xdr:spPr>
    </xdr:pic>
    <xdr:clientData/>
  </xdr:twoCellAnchor>
  <xdr:twoCellAnchor>
    <xdr:from>
      <xdr:col>20</xdr:col>
      <xdr:colOff>238125</xdr:colOff>
      <xdr:row>5</xdr:row>
      <xdr:rowOff>180975</xdr:rowOff>
    </xdr:from>
    <xdr:to>
      <xdr:col>21</xdr:col>
      <xdr:colOff>1085850</xdr:colOff>
      <xdr:row>13</xdr:row>
      <xdr:rowOff>104775</xdr:rowOff>
    </xdr:to>
    <xdr:sp macro="" textlink="">
      <xdr:nvSpPr>
        <xdr:cNvPr id="13" name="Legende mit Linie 1 12"/>
        <xdr:cNvSpPr/>
      </xdr:nvSpPr>
      <xdr:spPr>
        <a:xfrm>
          <a:off x="14773275" y="1209675"/>
          <a:ext cx="1609725" cy="1447800"/>
        </a:xfrm>
        <a:prstGeom prst="borderCallout1">
          <a:avLst>
            <a:gd name="adj1" fmla="val 50329"/>
            <a:gd name="adj2" fmla="val 99359"/>
            <a:gd name="adj3" fmla="val 82237"/>
            <a:gd name="adj4" fmla="val 147466"/>
          </a:avLst>
        </a:prstGeom>
        <a:ln w="28575"/>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de-DE" sz="1100"/>
            <a:t>Die dropdown</a:t>
          </a:r>
          <a:r>
            <a:rPr lang="de-DE" sz="1100" baseline="0"/>
            <a:t>-Auswahl des Bierstieles übernimmt rein informativ den empfohlenen Bereich an Ionenkonzentration und Restalkalität</a:t>
          </a:r>
          <a:endParaRPr lang="de-DE" sz="1100"/>
        </a:p>
      </xdr:txBody>
    </xdr:sp>
    <xdr:clientData/>
  </xdr:twoCellAnchor>
  <xdr:twoCellAnchor>
    <xdr:from>
      <xdr:col>24</xdr:col>
      <xdr:colOff>9525</xdr:colOff>
      <xdr:row>6</xdr:row>
      <xdr:rowOff>47625</xdr:rowOff>
    </xdr:from>
    <xdr:to>
      <xdr:col>26</xdr:col>
      <xdr:colOff>95250</xdr:colOff>
      <xdr:row>12</xdr:row>
      <xdr:rowOff>9525</xdr:rowOff>
    </xdr:to>
    <xdr:sp macro="" textlink="">
      <xdr:nvSpPr>
        <xdr:cNvPr id="37" name="Legende mit Linie 1 36"/>
        <xdr:cNvSpPr/>
      </xdr:nvSpPr>
      <xdr:spPr>
        <a:xfrm>
          <a:off x="19621500" y="1266825"/>
          <a:ext cx="1609725" cy="1104900"/>
        </a:xfrm>
        <a:prstGeom prst="borderCallout1">
          <a:avLst>
            <a:gd name="adj1" fmla="val 51645"/>
            <a:gd name="adj2" fmla="val 542"/>
            <a:gd name="adj3" fmla="val 129266"/>
            <a:gd name="adj4" fmla="val -34783"/>
          </a:avLst>
        </a:prstGeom>
        <a:ln w="28575"/>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de-DE" sz="1100"/>
            <a:t>Die soll-Werte für den Zielmengenrechner werden manuell nach Vorliebe des Brauers</a:t>
          </a:r>
          <a:r>
            <a:rPr lang="de-DE" sz="1100" baseline="0"/>
            <a:t> </a:t>
          </a:r>
          <a:r>
            <a:rPr lang="de-DE" sz="1100"/>
            <a:t>eingetragen</a:t>
          </a:r>
        </a:p>
      </xdr:txBody>
    </xdr:sp>
    <xdr:clientData/>
  </xdr:twoCellAnchor>
  <xdr:twoCellAnchor>
    <xdr:from>
      <xdr:col>23</xdr:col>
      <xdr:colOff>295275</xdr:colOff>
      <xdr:row>14</xdr:row>
      <xdr:rowOff>152400</xdr:rowOff>
    </xdr:from>
    <xdr:to>
      <xdr:col>27</xdr:col>
      <xdr:colOff>723900</xdr:colOff>
      <xdr:row>18</xdr:row>
      <xdr:rowOff>95250</xdr:rowOff>
    </xdr:to>
    <xdr:cxnSp macro="">
      <xdr:nvCxnSpPr>
        <xdr:cNvPr id="14" name="Gerade Verbindung mit Pfeil 13"/>
        <xdr:cNvCxnSpPr/>
      </xdr:nvCxnSpPr>
      <xdr:spPr>
        <a:xfrm>
          <a:off x="19145250" y="2895600"/>
          <a:ext cx="3476625" cy="704850"/>
        </a:xfrm>
        <a:prstGeom prst="straightConnector1">
          <a:avLst/>
        </a:prstGeom>
        <a:ln w="12700">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342900</xdr:colOff>
      <xdr:row>16</xdr:row>
      <xdr:rowOff>161925</xdr:rowOff>
    </xdr:from>
    <xdr:to>
      <xdr:col>27</xdr:col>
      <xdr:colOff>742950</xdr:colOff>
      <xdr:row>19</xdr:row>
      <xdr:rowOff>161925</xdr:rowOff>
    </xdr:to>
    <xdr:cxnSp macro="">
      <xdr:nvCxnSpPr>
        <xdr:cNvPr id="15" name="Gerade Verbindung mit Pfeil 14"/>
        <xdr:cNvCxnSpPr/>
      </xdr:nvCxnSpPr>
      <xdr:spPr>
        <a:xfrm>
          <a:off x="19192875" y="3286125"/>
          <a:ext cx="3448050" cy="571500"/>
        </a:xfrm>
        <a:prstGeom prst="straightConnector1">
          <a:avLst/>
        </a:prstGeom>
        <a:ln w="12700">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400050</xdr:colOff>
      <xdr:row>19</xdr:row>
      <xdr:rowOff>19050</xdr:rowOff>
    </xdr:from>
    <xdr:to>
      <xdr:col>27</xdr:col>
      <xdr:colOff>704850</xdr:colOff>
      <xdr:row>21</xdr:row>
      <xdr:rowOff>47626</xdr:rowOff>
    </xdr:to>
    <xdr:cxnSp macro="">
      <xdr:nvCxnSpPr>
        <xdr:cNvPr id="16" name="Gerade Verbindung mit Pfeil 15"/>
        <xdr:cNvCxnSpPr/>
      </xdr:nvCxnSpPr>
      <xdr:spPr>
        <a:xfrm>
          <a:off x="19250025" y="3714750"/>
          <a:ext cx="3352800" cy="409576"/>
        </a:xfrm>
        <a:prstGeom prst="straightConnector1">
          <a:avLst/>
        </a:prstGeom>
        <a:ln w="12700">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428625</xdr:colOff>
      <xdr:row>21</xdr:row>
      <xdr:rowOff>0</xdr:rowOff>
    </xdr:from>
    <xdr:to>
      <xdr:col>27</xdr:col>
      <xdr:colOff>695325</xdr:colOff>
      <xdr:row>22</xdr:row>
      <xdr:rowOff>104776</xdr:rowOff>
    </xdr:to>
    <xdr:cxnSp macro="">
      <xdr:nvCxnSpPr>
        <xdr:cNvPr id="17" name="Gerade Verbindung mit Pfeil 16"/>
        <xdr:cNvCxnSpPr/>
      </xdr:nvCxnSpPr>
      <xdr:spPr>
        <a:xfrm>
          <a:off x="19278600" y="4076700"/>
          <a:ext cx="3314700" cy="295276"/>
        </a:xfrm>
        <a:prstGeom prst="straightConnector1">
          <a:avLst/>
        </a:prstGeom>
        <a:ln w="12700">
          <a:tailEnd type="stealt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438150</xdr:colOff>
      <xdr:row>26</xdr:row>
      <xdr:rowOff>171451</xdr:rowOff>
    </xdr:from>
    <xdr:to>
      <xdr:col>28</xdr:col>
      <xdr:colOff>9525</xdr:colOff>
      <xdr:row>27</xdr:row>
      <xdr:rowOff>95250</xdr:rowOff>
    </xdr:to>
    <xdr:cxnSp macro="">
      <xdr:nvCxnSpPr>
        <xdr:cNvPr id="18" name="Gerade Verbindung mit Pfeil 17"/>
        <xdr:cNvCxnSpPr/>
      </xdr:nvCxnSpPr>
      <xdr:spPr>
        <a:xfrm flipV="1">
          <a:off x="19288125" y="5200651"/>
          <a:ext cx="3381375" cy="114299"/>
        </a:xfrm>
        <a:prstGeom prst="straightConnector1">
          <a:avLst/>
        </a:prstGeom>
        <a:ln w="12700">
          <a:tailEnd type="stealt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285750</xdr:colOff>
      <xdr:row>9</xdr:row>
      <xdr:rowOff>142874</xdr:rowOff>
    </xdr:from>
    <xdr:to>
      <xdr:col>20</xdr:col>
      <xdr:colOff>726281</xdr:colOff>
      <xdr:row>9</xdr:row>
      <xdr:rowOff>154780</xdr:rowOff>
    </xdr:to>
    <xdr:cxnSp macro="">
      <xdr:nvCxnSpPr>
        <xdr:cNvPr id="3" name="Gerade Verbindung mit Pfeil 2"/>
        <xdr:cNvCxnSpPr/>
      </xdr:nvCxnSpPr>
      <xdr:spPr>
        <a:xfrm flipV="1">
          <a:off x="16692563" y="2083593"/>
          <a:ext cx="440531" cy="11906"/>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maischemalzundmehr.de/index.php?inhaltmitte=exp_maischph"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maischemalzundmehr.de/index.php?inhaltmitte=toolswasserrechner" TargetMode="External"/><Relationship Id="rId1" Type="http://schemas.openxmlformats.org/officeDocument/2006/relationships/hyperlink" Target="https://braumagazin.de/article/von-der-wasseranalyse-zum-brauwasse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33CCFF"/>
  </sheetPr>
  <dimension ref="A1:BS89"/>
  <sheetViews>
    <sheetView showGridLines="0" tabSelected="1" workbookViewId="0"/>
  </sheetViews>
  <sheetFormatPr baseColWidth="10" defaultRowHeight="15" x14ac:dyDescent="0.25"/>
  <cols>
    <col min="1" max="1" width="4.42578125" style="264" customWidth="1"/>
    <col min="2" max="2" width="11.42578125" style="264"/>
    <col min="3" max="3" width="2.5703125" style="264" customWidth="1"/>
    <col min="4" max="4" width="1.85546875" style="264" customWidth="1"/>
    <col min="5" max="5" width="25.7109375" style="264" customWidth="1"/>
    <col min="6" max="8" width="11.42578125" style="264" customWidth="1"/>
    <col min="9" max="9" width="1.42578125" style="264" customWidth="1"/>
    <col min="10" max="10" width="34.5703125" style="264" customWidth="1"/>
    <col min="11" max="11" width="5.42578125" style="264" customWidth="1"/>
    <col min="12" max="13" width="11.42578125" style="264" customWidth="1"/>
    <col min="14" max="14" width="8.28515625" style="264" customWidth="1"/>
    <col min="15" max="15" width="11.42578125" style="264" customWidth="1"/>
    <col min="16" max="16" width="9.42578125" style="264" customWidth="1"/>
    <col min="17" max="17" width="6.7109375" style="264" customWidth="1"/>
    <col min="18" max="18" width="11.42578125" style="264" customWidth="1"/>
    <col min="19" max="19" width="9.42578125" style="264" customWidth="1"/>
    <col min="20" max="20" width="6.7109375" style="264" customWidth="1"/>
    <col min="21" max="21" width="11.42578125" style="264" customWidth="1"/>
    <col min="22" max="22" width="9.42578125" style="264" customWidth="1"/>
    <col min="23" max="23" width="6.7109375" style="264" customWidth="1"/>
    <col min="24" max="24" width="11.42578125" style="264" customWidth="1"/>
    <col min="25" max="25" width="9.42578125" style="264" customWidth="1"/>
    <col min="26" max="26" width="6.7109375" style="264" bestFit="1" customWidth="1"/>
    <col min="27" max="27" width="9.140625" style="264" customWidth="1"/>
    <col min="28" max="28" width="11.42578125" style="264" customWidth="1"/>
    <col min="29" max="29" width="6.7109375" style="264" customWidth="1"/>
    <col min="30" max="30" width="25.28515625" style="264" customWidth="1"/>
    <col min="31" max="31" width="7.85546875" style="264" customWidth="1"/>
    <col min="32" max="32" width="11.42578125" style="264" customWidth="1"/>
    <col min="33" max="33" width="6.42578125" style="264" customWidth="1"/>
    <col min="34" max="34" width="7.85546875" style="264" customWidth="1"/>
    <col min="35" max="36" width="11.42578125" style="264" customWidth="1"/>
    <col min="37" max="37" width="7.85546875" style="264" customWidth="1"/>
    <col min="38" max="39" width="11.42578125" style="264" customWidth="1"/>
    <col min="40" max="40" width="7.85546875" style="264" customWidth="1"/>
    <col min="41" max="41" width="15.5703125" style="264" customWidth="1"/>
    <col min="42" max="42" width="6.7109375" style="264" customWidth="1"/>
    <col min="43" max="43" width="7.85546875" style="264" customWidth="1"/>
    <col min="44" max="44" width="11.42578125" style="264" customWidth="1"/>
    <col min="45" max="45" width="9.5703125" style="264" customWidth="1"/>
    <col min="46" max="46" width="8" style="264" customWidth="1"/>
    <col min="47" max="52" width="11.42578125" style="264" customWidth="1"/>
    <col min="53" max="53" width="9.7109375" style="264" customWidth="1"/>
    <col min="54" max="54" width="25.28515625" style="264" customWidth="1"/>
    <col min="55" max="55" width="9.5703125" style="264" customWidth="1"/>
    <col min="56" max="56" width="11.42578125" style="264" customWidth="1"/>
    <col min="57" max="57" width="3" style="264" customWidth="1"/>
    <col min="58" max="58" width="1.7109375" style="264" customWidth="1"/>
    <col min="59" max="59" width="33.28515625" style="264" bestFit="1" customWidth="1"/>
    <col min="60" max="60" width="10.5703125" style="264" customWidth="1"/>
    <col min="61" max="61" width="8" style="264" customWidth="1"/>
    <col min="62" max="62" width="25.28515625" style="264" customWidth="1"/>
    <col min="63" max="63" width="11.140625" style="264" customWidth="1"/>
    <col min="64" max="64" width="14.28515625" style="264" customWidth="1"/>
    <col min="65" max="65" width="10.28515625" style="264" customWidth="1"/>
    <col min="66" max="66" width="15.5703125" style="264" customWidth="1"/>
    <col min="67" max="67" width="11.42578125" style="264" customWidth="1"/>
    <col min="68" max="68" width="10.5703125" style="264" customWidth="1"/>
    <col min="69" max="16384" width="11.42578125" style="264"/>
  </cols>
  <sheetData>
    <row r="1" spans="1:71" ht="26.25" x14ac:dyDescent="0.4">
      <c r="A1" s="259"/>
      <c r="B1" s="259"/>
      <c r="C1" s="259"/>
      <c r="D1" s="259"/>
      <c r="E1" s="259"/>
      <c r="F1" s="259"/>
      <c r="G1" s="259"/>
      <c r="H1" s="259"/>
      <c r="I1" s="259"/>
      <c r="J1" s="259"/>
      <c r="K1" s="259"/>
      <c r="L1" s="259"/>
      <c r="M1" s="259"/>
      <c r="N1" s="259"/>
      <c r="O1" s="464"/>
      <c r="P1" s="464"/>
      <c r="Q1" s="464"/>
      <c r="R1" s="464"/>
      <c r="S1" s="464"/>
      <c r="T1" s="464"/>
      <c r="U1" s="464"/>
      <c r="V1" s="464"/>
      <c r="W1" s="464"/>
      <c r="X1" s="464"/>
      <c r="Y1" s="464"/>
      <c r="Z1" s="464"/>
      <c r="AA1" s="464"/>
      <c r="AB1" s="464"/>
      <c r="AC1" s="464"/>
      <c r="AD1" s="464"/>
      <c r="AE1" s="464"/>
      <c r="AF1" s="464"/>
      <c r="AG1" s="464"/>
      <c r="AH1" s="464"/>
      <c r="AI1" s="464"/>
      <c r="AJ1" s="464"/>
      <c r="AK1" s="464"/>
      <c r="AL1" s="464"/>
      <c r="AM1" s="464"/>
      <c r="AN1" s="464"/>
      <c r="AO1" s="464"/>
      <c r="AP1" s="464"/>
      <c r="AQ1" s="464"/>
      <c r="AR1" s="464"/>
      <c r="AS1" s="464"/>
      <c r="AT1" s="464"/>
      <c r="AU1" s="464"/>
      <c r="AV1" s="464"/>
      <c r="AW1" s="464"/>
      <c r="AX1" s="464"/>
      <c r="AY1" s="464"/>
      <c r="AZ1" s="464"/>
      <c r="BA1" s="464"/>
      <c r="BB1" s="464"/>
      <c r="BC1" s="464"/>
      <c r="BD1" s="464"/>
      <c r="BE1" s="260"/>
      <c r="BF1" s="260"/>
      <c r="BG1" s="260"/>
      <c r="BH1" s="261"/>
      <c r="BI1" s="261"/>
      <c r="BJ1" s="262"/>
      <c r="BK1" s="262"/>
      <c r="BL1" s="262"/>
      <c r="BM1" s="262"/>
      <c r="BN1" s="263"/>
      <c r="BO1" s="263"/>
      <c r="BP1" s="263"/>
      <c r="BQ1" s="263"/>
      <c r="BR1" s="263"/>
      <c r="BS1" s="263"/>
    </row>
    <row r="2" spans="1:71" ht="31.5" x14ac:dyDescent="0.5">
      <c r="A2" s="259"/>
      <c r="B2" s="259"/>
      <c r="C2" s="259"/>
      <c r="D2" s="259"/>
      <c r="E2" s="265"/>
      <c r="F2" s="259"/>
      <c r="G2" s="259"/>
      <c r="H2" s="259"/>
      <c r="I2" s="259"/>
      <c r="J2" s="259"/>
      <c r="K2" s="259"/>
      <c r="L2" s="259"/>
      <c r="M2" s="259"/>
      <c r="N2" s="259"/>
      <c r="O2" s="464" t="s">
        <v>260</v>
      </c>
      <c r="P2" s="464"/>
      <c r="Q2" s="464"/>
      <c r="R2" s="464"/>
      <c r="S2" s="464"/>
      <c r="T2" s="464"/>
      <c r="U2" s="464"/>
      <c r="V2" s="464"/>
      <c r="W2" s="464"/>
      <c r="X2" s="464"/>
      <c r="Y2" s="464"/>
      <c r="Z2" s="464"/>
      <c r="AA2" s="464"/>
      <c r="AB2" s="464"/>
      <c r="AC2" s="464"/>
      <c r="AD2" s="464"/>
      <c r="AE2" s="464"/>
      <c r="AF2" s="464"/>
      <c r="AG2" s="464"/>
      <c r="AH2" s="464"/>
      <c r="AI2" s="464"/>
      <c r="AJ2" s="464"/>
      <c r="AK2" s="464"/>
      <c r="AL2" s="464"/>
      <c r="AM2" s="464"/>
      <c r="AN2" s="464"/>
      <c r="AO2" s="464"/>
      <c r="AP2" s="464"/>
      <c r="AQ2" s="464"/>
      <c r="AR2" s="464"/>
      <c r="AS2" s="464"/>
      <c r="AT2" s="464"/>
      <c r="AU2" s="464"/>
      <c r="AV2" s="464"/>
      <c r="AW2" s="464"/>
      <c r="AX2" s="464"/>
      <c r="AY2" s="464"/>
      <c r="AZ2" s="464"/>
      <c r="BA2" s="464"/>
      <c r="BB2" s="464"/>
      <c r="BC2" s="464"/>
      <c r="BD2" s="464"/>
      <c r="BE2" s="464"/>
      <c r="BF2" s="464"/>
      <c r="BG2" s="464"/>
      <c r="BH2" s="261"/>
      <c r="BI2" s="261"/>
      <c r="BJ2" s="262"/>
      <c r="BK2" s="262"/>
      <c r="BL2" s="262"/>
      <c r="BM2" s="262"/>
      <c r="BN2" s="263"/>
      <c r="BO2" s="263"/>
      <c r="BP2" s="263"/>
      <c r="BQ2" s="263"/>
      <c r="BR2" s="263"/>
      <c r="BS2" s="263"/>
    </row>
    <row r="3" spans="1:71" ht="32.25" thickBot="1" x14ac:dyDescent="0.55000000000000004">
      <c r="A3" s="259"/>
      <c r="B3" s="259"/>
      <c r="C3" s="259"/>
      <c r="D3" s="259"/>
      <c r="E3" s="265"/>
      <c r="F3" s="259"/>
      <c r="G3" s="259"/>
      <c r="H3" s="259"/>
      <c r="I3" s="259"/>
      <c r="J3" s="259"/>
      <c r="K3" s="259"/>
      <c r="L3" s="259"/>
      <c r="M3" s="259"/>
      <c r="N3" s="259"/>
      <c r="O3" s="266" t="s">
        <v>218</v>
      </c>
      <c r="P3" s="267"/>
      <c r="Q3" s="267"/>
      <c r="R3" s="267"/>
      <c r="S3" s="267"/>
      <c r="T3" s="267"/>
      <c r="U3" s="267"/>
      <c r="V3" s="267"/>
      <c r="W3" s="267"/>
      <c r="X3" s="267"/>
      <c r="Y3" s="267"/>
      <c r="Z3" s="267"/>
      <c r="AA3" s="267"/>
      <c r="AB3" s="267"/>
      <c r="AC3" s="266" t="s">
        <v>218</v>
      </c>
      <c r="AD3" s="266"/>
      <c r="AE3" s="268" t="s">
        <v>216</v>
      </c>
      <c r="AF3" s="269"/>
      <c r="AG3" s="269"/>
      <c r="AH3" s="269"/>
      <c r="AI3" s="269"/>
      <c r="AJ3" s="269"/>
      <c r="AK3" s="269"/>
      <c r="AL3" s="269"/>
      <c r="AM3" s="269"/>
      <c r="AN3" s="269"/>
      <c r="AO3" s="269"/>
      <c r="AP3" s="269"/>
      <c r="AQ3" s="269"/>
      <c r="AR3" s="269"/>
      <c r="AS3" s="269"/>
      <c r="AT3" s="269"/>
      <c r="AU3" s="269"/>
      <c r="AV3" s="269"/>
      <c r="AW3" s="269"/>
      <c r="AX3" s="269"/>
      <c r="AY3" s="268" t="s">
        <v>216</v>
      </c>
      <c r="AZ3" s="270"/>
      <c r="BA3" s="270"/>
      <c r="BB3" s="270"/>
      <c r="BC3" s="270"/>
      <c r="BF3" s="271" t="s">
        <v>348</v>
      </c>
      <c r="BG3" s="271"/>
      <c r="BH3" s="261"/>
      <c r="BI3" s="272" t="s">
        <v>385</v>
      </c>
      <c r="BJ3" s="262"/>
      <c r="BK3" s="262"/>
      <c r="BL3" s="262"/>
      <c r="BM3" s="262"/>
      <c r="BN3" s="263"/>
      <c r="BO3" s="263"/>
      <c r="BP3" s="263"/>
      <c r="BQ3" s="263"/>
      <c r="BR3" s="263"/>
      <c r="BS3" s="273" t="s">
        <v>215</v>
      </c>
    </row>
    <row r="4" spans="1:71" ht="21.75" thickTop="1" x14ac:dyDescent="0.35">
      <c r="A4" s="259"/>
      <c r="B4" s="259"/>
      <c r="C4" s="259"/>
      <c r="D4" s="259"/>
      <c r="E4" s="274"/>
      <c r="F4" s="259"/>
      <c r="G4" s="259"/>
      <c r="H4" s="392"/>
      <c r="I4" s="393"/>
      <c r="J4" s="394"/>
      <c r="K4" s="395" t="s">
        <v>223</v>
      </c>
      <c r="L4" s="396">
        <f>Zielmengenrechner!U4</f>
        <v>28</v>
      </c>
      <c r="M4" s="397" t="s">
        <v>256</v>
      </c>
      <c r="N4" s="259"/>
      <c r="O4" s="275" t="s">
        <v>126</v>
      </c>
      <c r="P4" s="267"/>
      <c r="Q4" s="267"/>
      <c r="R4" s="275" t="s">
        <v>145</v>
      </c>
      <c r="S4" s="267"/>
      <c r="T4" s="267"/>
      <c r="U4" s="275" t="s">
        <v>294</v>
      </c>
      <c r="V4" s="267"/>
      <c r="W4" s="267"/>
      <c r="X4" s="275" t="s">
        <v>132</v>
      </c>
      <c r="Y4" s="267"/>
      <c r="Z4" s="267"/>
      <c r="AA4" s="275" t="s">
        <v>144</v>
      </c>
      <c r="AB4" s="267"/>
      <c r="AC4" s="267"/>
      <c r="AD4" s="267"/>
      <c r="AE4" s="276" t="s">
        <v>202</v>
      </c>
      <c r="AF4" s="269"/>
      <c r="AG4" s="269"/>
      <c r="AH4" s="276" t="s">
        <v>204</v>
      </c>
      <c r="AI4" s="269"/>
      <c r="AJ4" s="269"/>
      <c r="AK4" s="276" t="s">
        <v>375</v>
      </c>
      <c r="AL4" s="269"/>
      <c r="AM4" s="269"/>
      <c r="AN4" s="276" t="s">
        <v>207</v>
      </c>
      <c r="AO4" s="269"/>
      <c r="AP4" s="269"/>
      <c r="AQ4" s="276" t="s">
        <v>208</v>
      </c>
      <c r="AR4" s="269"/>
      <c r="AS4" s="269"/>
      <c r="AT4" s="276" t="s">
        <v>209</v>
      </c>
      <c r="AU4" s="269"/>
      <c r="AV4" s="269"/>
      <c r="AW4" s="276" t="s">
        <v>213</v>
      </c>
      <c r="AX4" s="269"/>
      <c r="AY4" s="269"/>
      <c r="BA4" s="277" t="s">
        <v>349</v>
      </c>
      <c r="BD4" s="277" t="s">
        <v>217</v>
      </c>
      <c r="BH4" s="261"/>
      <c r="BI4" s="278" t="s">
        <v>384</v>
      </c>
      <c r="BJ4" s="262"/>
      <c r="BK4" s="262"/>
      <c r="BL4" s="262"/>
      <c r="BM4" s="262"/>
      <c r="BN4" s="263"/>
      <c r="BO4" s="263"/>
      <c r="BP4" s="263"/>
      <c r="BQ4" s="263"/>
      <c r="BR4" s="263"/>
      <c r="BS4" s="263"/>
    </row>
    <row r="5" spans="1:71" ht="19.5" thickBot="1" x14ac:dyDescent="0.35">
      <c r="A5" s="259"/>
      <c r="B5" s="259"/>
      <c r="C5" s="259"/>
      <c r="D5" s="259"/>
      <c r="E5" s="259"/>
      <c r="F5" s="259"/>
      <c r="G5" s="259"/>
      <c r="H5" s="398"/>
      <c r="I5" s="399"/>
      <c r="J5" s="400"/>
      <c r="K5" s="401" t="s">
        <v>261</v>
      </c>
      <c r="L5" s="402">
        <f>L4-BA5-BD5</f>
        <v>28</v>
      </c>
      <c r="M5" s="403" t="s">
        <v>256</v>
      </c>
      <c r="N5" s="279"/>
      <c r="O5" s="257">
        <f>Zielmengenrechner!AB8</f>
        <v>0</v>
      </c>
      <c r="P5" s="267" t="s">
        <v>124</v>
      </c>
      <c r="Q5" s="267"/>
      <c r="R5" s="257">
        <f>Zielmengenrechner!AD8</f>
        <v>0</v>
      </c>
      <c r="S5" s="267" t="s">
        <v>146</v>
      </c>
      <c r="T5" s="267"/>
      <c r="U5" s="257">
        <f>Zielmengenrechner!AF8</f>
        <v>0</v>
      </c>
      <c r="V5" s="267" t="s">
        <v>124</v>
      </c>
      <c r="W5" s="267"/>
      <c r="X5" s="257">
        <f>Zielmengenrechner!AH8</f>
        <v>0</v>
      </c>
      <c r="Y5" s="267" t="s">
        <v>124</v>
      </c>
      <c r="Z5" s="267"/>
      <c r="AA5" s="257">
        <f>Zielmengenrechner!AJ8</f>
        <v>0</v>
      </c>
      <c r="AB5" s="267" t="s">
        <v>124</v>
      </c>
      <c r="AC5" s="267"/>
      <c r="AD5" s="267"/>
      <c r="AE5" s="257">
        <f>Zielmengenrechner!AL8</f>
        <v>0</v>
      </c>
      <c r="AF5" s="269" t="s">
        <v>205</v>
      </c>
      <c r="AG5" s="269"/>
      <c r="AH5" s="257">
        <f>Zielmengenrechner!AN8</f>
        <v>0</v>
      </c>
      <c r="AI5" s="269" t="s">
        <v>206</v>
      </c>
      <c r="AJ5" s="269"/>
      <c r="AK5" s="257">
        <f>Zielmengenrechner!AP8</f>
        <v>0</v>
      </c>
      <c r="AL5" s="269" t="str">
        <f>Zielmengenrechner!AP6</f>
        <v>[ml]</v>
      </c>
      <c r="AM5" s="269"/>
      <c r="AN5" s="257">
        <f>Zielmengenrechner!AR8</f>
        <v>0</v>
      </c>
      <c r="AO5" s="269" t="s">
        <v>211</v>
      </c>
      <c r="AP5" s="269"/>
      <c r="AQ5" s="257">
        <f>Zielmengenrechner!AT8</f>
        <v>0</v>
      </c>
      <c r="AR5" s="269" t="s">
        <v>212</v>
      </c>
      <c r="AS5" s="269"/>
      <c r="AT5" s="257">
        <f>Zielmengenrechner!AV8</f>
        <v>0</v>
      </c>
      <c r="AU5" s="269" t="s">
        <v>210</v>
      </c>
      <c r="AV5" s="269"/>
      <c r="AW5" s="257">
        <f>Zielmengenrechner!AX8</f>
        <v>0</v>
      </c>
      <c r="AX5" s="269" t="s">
        <v>214</v>
      </c>
      <c r="AY5" s="269"/>
      <c r="BA5" s="258">
        <f>Zielmengenrechner!X8</f>
        <v>0</v>
      </c>
      <c r="BB5" s="264" t="s">
        <v>286</v>
      </c>
      <c r="BD5" s="257">
        <f>Zielmengenrechner!Z8</f>
        <v>0</v>
      </c>
      <c r="BE5" s="264" t="s">
        <v>161</v>
      </c>
      <c r="BH5" s="261"/>
      <c r="BI5" s="278"/>
      <c r="BJ5" s="262"/>
      <c r="BK5" s="262"/>
      <c r="BL5" s="262"/>
      <c r="BM5" s="262"/>
      <c r="BN5" s="263"/>
      <c r="BO5" s="263"/>
      <c r="BP5" s="263"/>
      <c r="BQ5" s="263"/>
      <c r="BR5" s="263"/>
      <c r="BS5" s="263"/>
    </row>
    <row r="6" spans="1:71" ht="16.5" thickTop="1" thickBot="1" x14ac:dyDescent="0.3">
      <c r="A6" s="259"/>
      <c r="B6" s="259"/>
      <c r="C6" s="259"/>
      <c r="D6" s="259"/>
      <c r="E6" s="259"/>
      <c r="F6" s="259"/>
      <c r="G6" s="259"/>
      <c r="H6" s="259"/>
      <c r="I6" s="259"/>
      <c r="J6" s="259"/>
      <c r="K6" s="259"/>
      <c r="L6" s="259"/>
      <c r="M6" s="259"/>
      <c r="N6" s="259"/>
      <c r="O6" s="257">
        <f>Zielmengenrechner!AB9</f>
        <v>80</v>
      </c>
      <c r="P6" s="267" t="s">
        <v>127</v>
      </c>
      <c r="Q6" s="267"/>
      <c r="R6" s="267"/>
      <c r="S6" s="267"/>
      <c r="T6" s="267"/>
      <c r="U6" s="257">
        <f>Zielmengenrechner!AF9</f>
        <v>10</v>
      </c>
      <c r="V6" s="267" t="s">
        <v>127</v>
      </c>
      <c r="W6" s="267"/>
      <c r="X6" s="257">
        <f>Zielmengenrechner!AH9</f>
        <v>10</v>
      </c>
      <c r="Y6" s="267" t="s">
        <v>127</v>
      </c>
      <c r="Z6" s="267"/>
      <c r="AA6" s="257">
        <f>Zielmengenrechner!AJ9</f>
        <v>10</v>
      </c>
      <c r="AB6" s="267" t="s">
        <v>127</v>
      </c>
      <c r="AC6" s="267"/>
      <c r="AD6" s="267"/>
      <c r="AE6" s="269"/>
      <c r="AF6" s="269"/>
      <c r="AG6" s="269"/>
      <c r="AH6" s="269"/>
      <c r="AI6" s="269"/>
      <c r="AJ6" s="269"/>
      <c r="AK6" s="269"/>
      <c r="AL6" s="269"/>
      <c r="AM6" s="269"/>
      <c r="AN6" s="269"/>
      <c r="AO6" s="269"/>
      <c r="AP6" s="269"/>
      <c r="AQ6" s="269"/>
      <c r="AR6" s="269"/>
      <c r="AS6" s="269"/>
      <c r="AT6" s="269"/>
      <c r="AU6" s="269"/>
      <c r="AV6" s="269"/>
      <c r="AW6" s="269"/>
      <c r="AX6" s="269"/>
      <c r="AY6" s="269"/>
      <c r="BA6" s="258" t="str">
        <f>Zielmengenrechner!X9</f>
        <v>Netto Naturalis still Clara Quelle</v>
      </c>
      <c r="BD6" s="280">
        <f>BD5/L4</f>
        <v>0</v>
      </c>
      <c r="BE6" s="264" t="s">
        <v>351</v>
      </c>
      <c r="BH6" s="261"/>
      <c r="BI6" s="281" t="s">
        <v>255</v>
      </c>
      <c r="BJ6" s="282"/>
      <c r="BK6" s="262"/>
      <c r="BL6" s="262"/>
      <c r="BM6" s="262"/>
      <c r="BN6" s="263"/>
      <c r="BO6" s="263"/>
      <c r="BP6" s="263"/>
      <c r="BQ6" s="263"/>
      <c r="BR6" s="263"/>
      <c r="BS6" s="263"/>
    </row>
    <row r="7" spans="1:71" ht="15.75" thickTop="1" x14ac:dyDescent="0.25">
      <c r="A7" s="259"/>
      <c r="B7" s="259"/>
      <c r="C7" s="259"/>
      <c r="D7" s="283"/>
      <c r="E7" s="284"/>
      <c r="F7" s="284"/>
      <c r="G7" s="284"/>
      <c r="H7" s="284"/>
      <c r="I7" s="285"/>
      <c r="J7" s="259"/>
      <c r="K7" s="259"/>
      <c r="L7" s="259"/>
      <c r="M7" s="286"/>
      <c r="N7" s="287"/>
      <c r="O7" s="288">
        <v>90.08</v>
      </c>
      <c r="P7" s="288" t="s">
        <v>128</v>
      </c>
      <c r="Q7" s="289"/>
      <c r="R7" s="288">
        <v>90.08</v>
      </c>
      <c r="S7" s="288" t="s">
        <v>128</v>
      </c>
      <c r="T7" s="288"/>
      <c r="U7" s="290">
        <v>98</v>
      </c>
      <c r="V7" s="288" t="s">
        <v>128</v>
      </c>
      <c r="W7" s="289"/>
      <c r="X7" s="288">
        <v>98.08</v>
      </c>
      <c r="Y7" s="288" t="s">
        <v>128</v>
      </c>
      <c r="Z7" s="289"/>
      <c r="AA7" s="288">
        <v>36.46</v>
      </c>
      <c r="AB7" s="288" t="s">
        <v>128</v>
      </c>
      <c r="AC7" s="289"/>
      <c r="AD7" s="289"/>
      <c r="AE7" s="291">
        <v>172.19</v>
      </c>
      <c r="AF7" s="291" t="s">
        <v>128</v>
      </c>
      <c r="AG7" s="292"/>
      <c r="AH7" s="291">
        <v>147.01</v>
      </c>
      <c r="AI7" s="291" t="s">
        <v>128</v>
      </c>
      <c r="AJ7" s="291"/>
      <c r="AK7" s="291">
        <v>3.91</v>
      </c>
      <c r="AL7" s="291" t="s">
        <v>376</v>
      </c>
      <c r="AM7" s="269"/>
      <c r="AN7" s="291">
        <v>203.3</v>
      </c>
      <c r="AO7" s="291" t="s">
        <v>128</v>
      </c>
      <c r="AP7" s="269"/>
      <c r="AQ7" s="291">
        <v>246.48</v>
      </c>
      <c r="AR7" s="291" t="s">
        <v>128</v>
      </c>
      <c r="AS7" s="269"/>
      <c r="AT7" s="291">
        <v>58.44</v>
      </c>
      <c r="AU7" s="291" t="s">
        <v>128</v>
      </c>
      <c r="AV7" s="269"/>
      <c r="AW7" s="291">
        <v>87.007000000000005</v>
      </c>
      <c r="AX7" s="291" t="s">
        <v>128</v>
      </c>
      <c r="AY7" s="269"/>
      <c r="BH7" s="261"/>
      <c r="BI7" s="468"/>
      <c r="BJ7" s="469"/>
      <c r="BK7" s="469"/>
      <c r="BL7" s="470"/>
      <c r="BM7" s="262"/>
      <c r="BN7" s="263"/>
      <c r="BO7" s="263"/>
      <c r="BP7" s="263"/>
      <c r="BQ7" s="263"/>
      <c r="BR7" s="263"/>
      <c r="BS7" s="263"/>
    </row>
    <row r="8" spans="1:71" ht="15.75" x14ac:dyDescent="0.25">
      <c r="A8" s="259"/>
      <c r="B8" s="259"/>
      <c r="C8" s="259"/>
      <c r="D8" s="293"/>
      <c r="E8" s="294" t="s">
        <v>254</v>
      </c>
      <c r="F8" s="295"/>
      <c r="G8" s="295"/>
      <c r="H8" s="295"/>
      <c r="I8" s="296"/>
      <c r="J8" s="259"/>
      <c r="K8" s="259"/>
      <c r="L8" s="297" t="s">
        <v>259</v>
      </c>
      <c r="M8" s="286"/>
      <c r="N8" s="287"/>
      <c r="O8" s="288">
        <v>1.206</v>
      </c>
      <c r="P8" s="288" t="s">
        <v>129</v>
      </c>
      <c r="Q8" s="289" t="s">
        <v>125</v>
      </c>
      <c r="R8" s="288">
        <v>1.206</v>
      </c>
      <c r="S8" s="288" t="s">
        <v>129</v>
      </c>
      <c r="T8" s="288"/>
      <c r="U8" s="288">
        <f>VLOOKUP(U6,'Infos &amp; Hilfseinträge'!W33:X79,2,TRUE)</f>
        <v>1.0531999999999999</v>
      </c>
      <c r="V8" s="288" t="s">
        <v>129</v>
      </c>
      <c r="W8" s="289" t="s">
        <v>125</v>
      </c>
      <c r="X8" s="288">
        <f>VLOOKUP(X6,'Infos &amp; Hilfseinträge'!I32:S91,5,TRUE)</f>
        <v>1.0661</v>
      </c>
      <c r="Y8" s="288" t="s">
        <v>129</v>
      </c>
      <c r="Z8" s="289" t="s">
        <v>125</v>
      </c>
      <c r="AA8" s="288">
        <f>VLOOKUP(AA6,'Infos &amp; Hilfseinträge'!AA32:AI52,5,TRUE)</f>
        <v>1.0474000000000001</v>
      </c>
      <c r="AB8" s="288" t="s">
        <v>129</v>
      </c>
      <c r="AC8" s="267"/>
      <c r="AD8" s="267"/>
      <c r="AE8" s="269"/>
      <c r="AF8" s="269"/>
      <c r="AG8" s="269"/>
      <c r="AH8" s="269"/>
      <c r="AI8" s="269"/>
      <c r="AJ8" s="269"/>
      <c r="AK8" s="291">
        <v>1.3149999999999999</v>
      </c>
      <c r="AL8" s="291" t="s">
        <v>129</v>
      </c>
      <c r="AM8" s="269"/>
      <c r="AN8" s="269"/>
      <c r="AO8" s="269"/>
      <c r="AP8" s="269"/>
      <c r="AQ8" s="269"/>
      <c r="AR8" s="269"/>
      <c r="AS8" s="269"/>
      <c r="AT8" s="269"/>
      <c r="AU8" s="269"/>
      <c r="AV8" s="269"/>
      <c r="AW8" s="269"/>
      <c r="AX8" s="269"/>
      <c r="AY8" s="269"/>
      <c r="BH8" s="261"/>
      <c r="BI8" s="465" t="s">
        <v>253</v>
      </c>
      <c r="BJ8" s="466"/>
      <c r="BK8" s="466"/>
      <c r="BL8" s="467"/>
      <c r="BM8" s="262"/>
      <c r="BN8" s="263"/>
      <c r="BO8" s="298" t="s">
        <v>27</v>
      </c>
      <c r="BP8" s="263"/>
      <c r="BQ8" s="263"/>
      <c r="BR8" s="263"/>
      <c r="BS8" s="263"/>
    </row>
    <row r="9" spans="1:71" x14ac:dyDescent="0.25">
      <c r="A9" s="259"/>
      <c r="B9" s="259"/>
      <c r="C9" s="259"/>
      <c r="D9" s="293"/>
      <c r="E9" s="295" t="s">
        <v>277</v>
      </c>
      <c r="F9" s="295"/>
      <c r="G9" s="295"/>
      <c r="H9" s="295"/>
      <c r="I9" s="296"/>
      <c r="J9" s="259"/>
      <c r="K9" s="259"/>
      <c r="L9" s="259"/>
      <c r="M9" s="259"/>
      <c r="N9" s="299"/>
      <c r="O9" s="300">
        <f>O5*O8*O6/100</f>
        <v>0</v>
      </c>
      <c r="P9" s="267" t="s">
        <v>130</v>
      </c>
      <c r="Q9" s="267"/>
      <c r="R9" s="300">
        <f>R5*0.02</f>
        <v>0</v>
      </c>
      <c r="S9" s="267" t="s">
        <v>130</v>
      </c>
      <c r="T9" s="267"/>
      <c r="U9" s="267">
        <f>U5*U8*U6/100</f>
        <v>0</v>
      </c>
      <c r="V9" s="267" t="s">
        <v>130</v>
      </c>
      <c r="W9" s="301"/>
      <c r="X9" s="267">
        <f>X5*X8*X6/100</f>
        <v>0</v>
      </c>
      <c r="Y9" s="267" t="s">
        <v>130</v>
      </c>
      <c r="Z9" s="301"/>
      <c r="AA9" s="267">
        <f>AA5*AA8*AA6/100</f>
        <v>0</v>
      </c>
      <c r="AB9" s="267" t="s">
        <v>130</v>
      </c>
      <c r="AC9" s="267"/>
      <c r="AD9" s="267"/>
      <c r="AE9" s="269"/>
      <c r="AF9" s="269"/>
      <c r="AG9" s="269"/>
      <c r="AH9" s="269"/>
      <c r="AI9" s="269"/>
      <c r="AJ9" s="269"/>
      <c r="AK9" s="269"/>
      <c r="AL9" s="269"/>
      <c r="AM9" s="269"/>
      <c r="AN9" s="269"/>
      <c r="AO9" s="269"/>
      <c r="AP9" s="269"/>
      <c r="AQ9" s="269"/>
      <c r="AR9" s="269"/>
      <c r="AS9" s="269"/>
      <c r="AT9" s="269"/>
      <c r="AU9" s="269"/>
      <c r="AV9" s="269"/>
      <c r="AW9" s="269"/>
      <c r="AX9" s="269"/>
      <c r="AY9" s="269"/>
      <c r="BH9" s="261"/>
      <c r="BI9" s="302"/>
      <c r="BJ9" s="303"/>
      <c r="BK9" s="303"/>
      <c r="BL9" s="304"/>
      <c r="BM9" s="262"/>
      <c r="BN9" s="263"/>
      <c r="BO9" s="305"/>
      <c r="BP9" s="263"/>
      <c r="BQ9" s="263"/>
      <c r="BR9" s="263"/>
      <c r="BS9" s="263"/>
    </row>
    <row r="10" spans="1:71" x14ac:dyDescent="0.25">
      <c r="A10" s="259"/>
      <c r="B10" s="259"/>
      <c r="C10" s="259"/>
      <c r="D10" s="293"/>
      <c r="E10" s="306" t="s">
        <v>0</v>
      </c>
      <c r="F10" s="295"/>
      <c r="G10" s="295"/>
      <c r="H10" s="295"/>
      <c r="I10" s="296"/>
      <c r="J10" s="259"/>
      <c r="K10" s="259"/>
      <c r="L10" s="259"/>
      <c r="M10" s="259"/>
      <c r="N10" s="299"/>
      <c r="O10" s="307">
        <f>O9/O7*1000</f>
        <v>0</v>
      </c>
      <c r="P10" s="267" t="s">
        <v>131</v>
      </c>
      <c r="Q10" s="267"/>
      <c r="R10" s="307">
        <f>R9/R7*1000</f>
        <v>0</v>
      </c>
      <c r="S10" s="267" t="s">
        <v>131</v>
      </c>
      <c r="T10" s="267"/>
      <c r="U10" s="307">
        <f>U9/U7*1000</f>
        <v>0</v>
      </c>
      <c r="V10" s="267" t="s">
        <v>131</v>
      </c>
      <c r="W10" s="301"/>
      <c r="X10" s="307">
        <f>X9/X7*1000</f>
        <v>0</v>
      </c>
      <c r="Y10" s="267" t="s">
        <v>131</v>
      </c>
      <c r="Z10" s="301"/>
      <c r="AA10" s="307">
        <f>AA9/AA7*1000</f>
        <v>0</v>
      </c>
      <c r="AB10" s="267" t="s">
        <v>131</v>
      </c>
      <c r="AC10" s="267"/>
      <c r="AD10" s="267"/>
      <c r="AE10" s="308">
        <f>AE5/AE7*1000</f>
        <v>0</v>
      </c>
      <c r="AF10" s="269" t="s">
        <v>131</v>
      </c>
      <c r="AG10" s="269"/>
      <c r="AH10" s="308">
        <f>AH5/AH7*1000</f>
        <v>0</v>
      </c>
      <c r="AI10" s="269" t="s">
        <v>131</v>
      </c>
      <c r="AJ10" s="269"/>
      <c r="AK10" s="308">
        <f>IF(AL5="[g]",AK5/AK8*AK7,AK5*AK7)</f>
        <v>0</v>
      </c>
      <c r="AL10" s="269" t="s">
        <v>131</v>
      </c>
      <c r="AM10" s="269"/>
      <c r="AN10" s="308">
        <f>AN5/AN7*1000</f>
        <v>0</v>
      </c>
      <c r="AO10" s="269" t="s">
        <v>131</v>
      </c>
      <c r="AP10" s="269"/>
      <c r="AQ10" s="308">
        <f>AQ5/AQ7*1000</f>
        <v>0</v>
      </c>
      <c r="AR10" s="269" t="s">
        <v>131</v>
      </c>
      <c r="AS10" s="269"/>
      <c r="AT10" s="308">
        <f>AT5/AT7*1000</f>
        <v>0</v>
      </c>
      <c r="AU10" s="269" t="s">
        <v>131</v>
      </c>
      <c r="AV10" s="269"/>
      <c r="AW10" s="308">
        <f>AW5/AW7*1000</f>
        <v>0</v>
      </c>
      <c r="AX10" s="269" t="s">
        <v>131</v>
      </c>
      <c r="AY10" s="269"/>
      <c r="BH10" s="261"/>
      <c r="BI10" s="309"/>
      <c r="BJ10" s="310"/>
      <c r="BK10" s="310"/>
      <c r="BL10" s="311"/>
      <c r="BM10" s="262"/>
      <c r="BN10" s="263"/>
      <c r="BO10" s="263"/>
      <c r="BP10" s="263"/>
      <c r="BQ10" s="263"/>
      <c r="BR10" s="263"/>
      <c r="BS10" s="263"/>
    </row>
    <row r="11" spans="1:71" x14ac:dyDescent="0.25">
      <c r="A11" s="259"/>
      <c r="B11" s="259"/>
      <c r="C11" s="259"/>
      <c r="D11" s="293"/>
      <c r="E11" s="295" t="s">
        <v>10</v>
      </c>
      <c r="F11" s="295" t="s">
        <v>2</v>
      </c>
      <c r="G11" s="312">
        <v>1.6</v>
      </c>
      <c r="H11" s="312" t="s">
        <v>9</v>
      </c>
      <c r="I11" s="296"/>
      <c r="J11" s="259" t="s">
        <v>311</v>
      </c>
      <c r="K11" s="259"/>
      <c r="L11" s="259"/>
      <c r="M11" s="259"/>
      <c r="N11" s="259"/>
      <c r="O11" s="267"/>
      <c r="P11" s="267"/>
      <c r="Q11" s="267"/>
      <c r="R11" s="267"/>
      <c r="S11" s="267"/>
      <c r="T11" s="267"/>
      <c r="U11" s="267"/>
      <c r="V11" s="267"/>
      <c r="W11" s="267"/>
      <c r="X11" s="267"/>
      <c r="Y11" s="267"/>
      <c r="Z11" s="267"/>
      <c r="AA11" s="267"/>
      <c r="AB11" s="267"/>
      <c r="AC11" s="267"/>
      <c r="AD11" s="275" t="s">
        <v>0</v>
      </c>
      <c r="AE11" s="269"/>
      <c r="AF11" s="269"/>
      <c r="AG11" s="269"/>
      <c r="AH11" s="269"/>
      <c r="AI11" s="269"/>
      <c r="AJ11" s="269"/>
      <c r="AK11" s="269"/>
      <c r="AL11" s="269"/>
      <c r="AM11" s="269"/>
      <c r="AN11" s="269"/>
      <c r="AO11" s="269"/>
      <c r="AP11" s="269"/>
      <c r="AQ11" s="269"/>
      <c r="AR11" s="269"/>
      <c r="AS11" s="269"/>
      <c r="AT11" s="269"/>
      <c r="AU11" s="269"/>
      <c r="AV11" s="269"/>
      <c r="AW11" s="269"/>
      <c r="AX11" s="269"/>
      <c r="AY11" s="269"/>
      <c r="BH11" s="261"/>
      <c r="BI11" s="313"/>
      <c r="BJ11" s="314" t="s">
        <v>0</v>
      </c>
      <c r="BK11" s="310"/>
      <c r="BL11" s="311"/>
      <c r="BM11" s="310"/>
      <c r="BN11" s="263"/>
      <c r="BO11" s="315" t="s">
        <v>28</v>
      </c>
      <c r="BP11" s="315" t="s">
        <v>29</v>
      </c>
      <c r="BQ11" s="315" t="s">
        <v>34</v>
      </c>
      <c r="BR11" s="263"/>
      <c r="BS11" s="263"/>
    </row>
    <row r="12" spans="1:71" x14ac:dyDescent="0.25">
      <c r="A12" s="259"/>
      <c r="B12" s="259"/>
      <c r="C12" s="259"/>
      <c r="D12" s="293"/>
      <c r="E12" s="295"/>
      <c r="F12" s="295" t="s">
        <v>2</v>
      </c>
      <c r="G12" s="316">
        <f>IF(H11="mmol/l",G11,G11/61)</f>
        <v>1.6</v>
      </c>
      <c r="H12" s="295" t="s">
        <v>118</v>
      </c>
      <c r="I12" s="296"/>
      <c r="J12" s="259"/>
      <c r="K12" s="259"/>
      <c r="L12" s="317">
        <f>G12*$L$5</f>
        <v>44.800000000000004</v>
      </c>
      <c r="M12" s="259" t="s">
        <v>119</v>
      </c>
      <c r="N12" s="279"/>
      <c r="O12" s="307">
        <f>L12-O10</f>
        <v>44.800000000000004</v>
      </c>
      <c r="P12" s="267" t="s">
        <v>119</v>
      </c>
      <c r="Q12" s="267"/>
      <c r="R12" s="307">
        <f>O12-R10</f>
        <v>44.800000000000004</v>
      </c>
      <c r="S12" s="267" t="s">
        <v>119</v>
      </c>
      <c r="T12" s="267"/>
      <c r="U12" s="307">
        <f>R12-U10</f>
        <v>44.800000000000004</v>
      </c>
      <c r="V12" s="267" t="s">
        <v>119</v>
      </c>
      <c r="W12" s="267"/>
      <c r="X12" s="307">
        <f>U12-2*X10</f>
        <v>44.800000000000004</v>
      </c>
      <c r="Y12" s="267" t="s">
        <v>119</v>
      </c>
      <c r="Z12" s="267"/>
      <c r="AA12" s="307">
        <f>X12-AA10</f>
        <v>44.800000000000004</v>
      </c>
      <c r="AB12" s="267" t="s">
        <v>119</v>
      </c>
      <c r="AC12" s="267"/>
      <c r="AD12" s="267" t="s">
        <v>10</v>
      </c>
      <c r="AE12" s="308">
        <f>AA12</f>
        <v>44.800000000000004</v>
      </c>
      <c r="AF12" s="269" t="s">
        <v>119</v>
      </c>
      <c r="AG12" s="269"/>
      <c r="AH12" s="308">
        <f>AE12</f>
        <v>44.800000000000004</v>
      </c>
      <c r="AI12" s="269" t="s">
        <v>119</v>
      </c>
      <c r="AJ12" s="269"/>
      <c r="AK12" s="308">
        <f>AH12</f>
        <v>44.800000000000004</v>
      </c>
      <c r="AL12" s="269" t="s">
        <v>119</v>
      </c>
      <c r="AM12" s="269"/>
      <c r="AN12" s="308">
        <f>AK12</f>
        <v>44.800000000000004</v>
      </c>
      <c r="AO12" s="269" t="s">
        <v>119</v>
      </c>
      <c r="AP12" s="269"/>
      <c r="AQ12" s="308">
        <f>AN12</f>
        <v>44.800000000000004</v>
      </c>
      <c r="AR12" s="269" t="s">
        <v>119</v>
      </c>
      <c r="AS12" s="269"/>
      <c r="AT12" s="308">
        <f>AQ12</f>
        <v>44.800000000000004</v>
      </c>
      <c r="AU12" s="269" t="s">
        <v>119</v>
      </c>
      <c r="AV12" s="269"/>
      <c r="AW12" s="318">
        <f>AW13/61</f>
        <v>44.800000000000004</v>
      </c>
      <c r="AX12" s="269" t="s">
        <v>119</v>
      </c>
      <c r="AY12" s="269"/>
      <c r="BA12" s="319">
        <f>BA13/61</f>
        <v>44.800000000000004</v>
      </c>
      <c r="BB12" s="320" t="s">
        <v>119</v>
      </c>
      <c r="BD12" s="321">
        <f>BA12</f>
        <v>44.800000000000004</v>
      </c>
      <c r="BE12" s="322" t="str">
        <f t="shared" ref="BE12:BE17" si="0">AB12</f>
        <v>[mmol]</v>
      </c>
      <c r="BH12" s="261"/>
      <c r="BI12" s="309"/>
      <c r="BJ12" s="310" t="s">
        <v>10</v>
      </c>
      <c r="BK12" s="323">
        <f>BA12/$L$4</f>
        <v>1.6</v>
      </c>
      <c r="BL12" s="311" t="s">
        <v>9</v>
      </c>
      <c r="BM12" s="310"/>
      <c r="BN12" s="263"/>
      <c r="BO12" s="263"/>
      <c r="BP12" s="263"/>
      <c r="BQ12" s="263"/>
      <c r="BR12" s="263"/>
      <c r="BS12" s="263"/>
    </row>
    <row r="13" spans="1:71" x14ac:dyDescent="0.25">
      <c r="A13" s="259"/>
      <c r="B13" s="259"/>
      <c r="C13" s="259"/>
      <c r="D13" s="293"/>
      <c r="E13" s="295"/>
      <c r="F13" s="295" t="s">
        <v>2</v>
      </c>
      <c r="G13" s="316">
        <f>IF(G11="mg/l",G11,G12*61)</f>
        <v>97.600000000000009</v>
      </c>
      <c r="H13" s="295" t="s">
        <v>8</v>
      </c>
      <c r="I13" s="296"/>
      <c r="J13" s="259"/>
      <c r="K13" s="259"/>
      <c r="L13" s="279">
        <f>L12*61</f>
        <v>2732.8</v>
      </c>
      <c r="M13" s="279" t="s">
        <v>120</v>
      </c>
      <c r="N13" s="279"/>
      <c r="O13" s="307">
        <f>O12*61</f>
        <v>2732.8</v>
      </c>
      <c r="P13" s="324" t="s">
        <v>120</v>
      </c>
      <c r="Q13" s="324"/>
      <c r="R13" s="324">
        <f>R12*61</f>
        <v>2732.8</v>
      </c>
      <c r="S13" s="324" t="s">
        <v>120</v>
      </c>
      <c r="T13" s="324"/>
      <c r="U13" s="324">
        <f>U12*61</f>
        <v>2732.8</v>
      </c>
      <c r="V13" s="324" t="s">
        <v>120</v>
      </c>
      <c r="W13" s="324"/>
      <c r="X13" s="324">
        <f>X12*61</f>
        <v>2732.8</v>
      </c>
      <c r="Y13" s="324" t="s">
        <v>120</v>
      </c>
      <c r="Z13" s="324"/>
      <c r="AA13" s="324">
        <f>AA12*61</f>
        <v>2732.8</v>
      </c>
      <c r="AB13" s="324" t="s">
        <v>120</v>
      </c>
      <c r="AC13" s="324"/>
      <c r="AD13" s="267" t="s">
        <v>10</v>
      </c>
      <c r="AE13" s="318">
        <f>AA13</f>
        <v>2732.8</v>
      </c>
      <c r="AF13" s="318" t="s">
        <v>120</v>
      </c>
      <c r="AG13" s="318"/>
      <c r="AH13" s="318">
        <f>AE13</f>
        <v>2732.8</v>
      </c>
      <c r="AI13" s="318" t="s">
        <v>120</v>
      </c>
      <c r="AJ13" s="318"/>
      <c r="AK13" s="318">
        <f>AH13</f>
        <v>2732.8</v>
      </c>
      <c r="AL13" s="318" t="s">
        <v>120</v>
      </c>
      <c r="AM13" s="318"/>
      <c r="AN13" s="318">
        <f>AK13</f>
        <v>2732.8</v>
      </c>
      <c r="AO13" s="318" t="s">
        <v>120</v>
      </c>
      <c r="AP13" s="318"/>
      <c r="AQ13" s="318">
        <f>AN13</f>
        <v>2732.8</v>
      </c>
      <c r="AR13" s="318" t="s">
        <v>120</v>
      </c>
      <c r="AS13" s="318"/>
      <c r="AT13" s="318">
        <f>AQ13</f>
        <v>2732.8</v>
      </c>
      <c r="AU13" s="318" t="s">
        <v>120</v>
      </c>
      <c r="AV13" s="269"/>
      <c r="AW13" s="318">
        <f>AT13+726.34*AW5</f>
        <v>2732.8</v>
      </c>
      <c r="AX13" s="318" t="s">
        <v>120</v>
      </c>
      <c r="AY13" s="269"/>
      <c r="BA13" s="319">
        <f>AW13+$BA$5*VLOOKUP($BA$6,'Infos &amp; Hilfseinträge'!$V$7:$AB$22,2,FALSE)</f>
        <v>2732.8</v>
      </c>
      <c r="BB13" s="319" t="s">
        <v>120</v>
      </c>
      <c r="BD13" s="321">
        <f t="shared" ref="BD13:BD34" si="1">BA13</f>
        <v>2732.8</v>
      </c>
      <c r="BE13" s="322" t="str">
        <f t="shared" si="0"/>
        <v>[mg]</v>
      </c>
      <c r="BH13" s="261"/>
      <c r="BI13" s="309"/>
      <c r="BJ13" s="310"/>
      <c r="BK13" s="323">
        <f>BK12*61</f>
        <v>97.600000000000009</v>
      </c>
      <c r="BL13" s="311" t="s">
        <v>8</v>
      </c>
      <c r="BM13" s="310"/>
      <c r="BN13" s="263"/>
      <c r="BO13" s="263">
        <v>0</v>
      </c>
      <c r="BP13" s="263">
        <v>500</v>
      </c>
      <c r="BQ13" s="263"/>
      <c r="BR13" s="263" t="s">
        <v>8</v>
      </c>
      <c r="BS13" s="263"/>
    </row>
    <row r="14" spans="1:71" x14ac:dyDescent="0.25">
      <c r="A14" s="259"/>
      <c r="B14" s="259"/>
      <c r="C14" s="259"/>
      <c r="D14" s="293"/>
      <c r="E14" s="295" t="s">
        <v>3</v>
      </c>
      <c r="F14" s="295" t="s">
        <v>11</v>
      </c>
      <c r="G14" s="312">
        <v>22</v>
      </c>
      <c r="H14" s="295" t="s">
        <v>8</v>
      </c>
      <c r="I14" s="296"/>
      <c r="J14" s="259"/>
      <c r="K14" s="259"/>
      <c r="L14" s="279">
        <f>G14*$L$5</f>
        <v>616</v>
      </c>
      <c r="M14" s="279" t="s">
        <v>120</v>
      </c>
      <c r="N14" s="279"/>
      <c r="O14" s="324">
        <f>L14</f>
        <v>616</v>
      </c>
      <c r="P14" s="324" t="s">
        <v>120</v>
      </c>
      <c r="Q14" s="324"/>
      <c r="R14" s="324">
        <f>O14</f>
        <v>616</v>
      </c>
      <c r="S14" s="324" t="s">
        <v>120</v>
      </c>
      <c r="T14" s="324"/>
      <c r="U14" s="324">
        <f>R14</f>
        <v>616</v>
      </c>
      <c r="V14" s="324" t="s">
        <v>120</v>
      </c>
      <c r="W14" s="324"/>
      <c r="X14" s="324">
        <f>O14+X9*1000*96/98</f>
        <v>616</v>
      </c>
      <c r="Y14" s="324" t="s">
        <v>120</v>
      </c>
      <c r="Z14" s="324"/>
      <c r="AA14" s="324">
        <f>X14</f>
        <v>616</v>
      </c>
      <c r="AB14" s="324" t="s">
        <v>120</v>
      </c>
      <c r="AC14" s="267"/>
      <c r="AD14" s="267" t="s">
        <v>3</v>
      </c>
      <c r="AE14" s="318">
        <f>AA14+557.93*AE5</f>
        <v>616</v>
      </c>
      <c r="AF14" s="318" t="s">
        <v>120</v>
      </c>
      <c r="AG14" s="269"/>
      <c r="AH14" s="318">
        <f>AE14</f>
        <v>616</v>
      </c>
      <c r="AI14" s="318" t="s">
        <v>120</v>
      </c>
      <c r="AJ14" s="318"/>
      <c r="AK14" s="318">
        <f>AH14</f>
        <v>616</v>
      </c>
      <c r="AL14" s="318" t="s">
        <v>120</v>
      </c>
      <c r="AM14" s="269"/>
      <c r="AN14" s="318">
        <f>AK14</f>
        <v>616</v>
      </c>
      <c r="AO14" s="318" t="s">
        <v>120</v>
      </c>
      <c r="AP14" s="269"/>
      <c r="AQ14" s="318">
        <f>AN14+389.73*AQ5</f>
        <v>616</v>
      </c>
      <c r="AR14" s="318" t="s">
        <v>120</v>
      </c>
      <c r="AS14" s="269"/>
      <c r="AT14" s="318">
        <f>AQ14</f>
        <v>616</v>
      </c>
      <c r="AU14" s="318" t="s">
        <v>120</v>
      </c>
      <c r="AV14" s="269"/>
      <c r="AW14" s="318">
        <f>AT14</f>
        <v>616</v>
      </c>
      <c r="AX14" s="318" t="s">
        <v>120</v>
      </c>
      <c r="AY14" s="269"/>
      <c r="BA14" s="319">
        <f>AW14+$BA$5*VLOOKUP($BA$6,'Infos &amp; Hilfseinträge'!$V$7:$AB$22,3,FALSE)</f>
        <v>616</v>
      </c>
      <c r="BB14" s="319" t="s">
        <v>120</v>
      </c>
      <c r="BD14" s="325">
        <f t="shared" si="1"/>
        <v>616</v>
      </c>
      <c r="BE14" s="322" t="str">
        <f t="shared" si="0"/>
        <v>[mg]</v>
      </c>
      <c r="BH14" s="261"/>
      <c r="BI14" s="309"/>
      <c r="BJ14" s="310" t="s">
        <v>3</v>
      </c>
      <c r="BK14" s="323">
        <f>BA14/$L$4</f>
        <v>22</v>
      </c>
      <c r="BL14" s="311" t="s">
        <v>8</v>
      </c>
      <c r="BM14" s="310"/>
      <c r="BN14" s="263"/>
      <c r="BO14" s="263">
        <v>0</v>
      </c>
      <c r="BP14" s="263">
        <v>250</v>
      </c>
      <c r="BQ14" s="263">
        <v>250</v>
      </c>
      <c r="BR14" s="263" t="s">
        <v>8</v>
      </c>
      <c r="BS14" s="326"/>
    </row>
    <row r="15" spans="1:71" x14ac:dyDescent="0.25">
      <c r="A15" s="259"/>
      <c r="B15" s="259"/>
      <c r="C15" s="259"/>
      <c r="D15" s="293"/>
      <c r="E15" s="295" t="s">
        <v>4</v>
      </c>
      <c r="F15" s="295" t="s">
        <v>12</v>
      </c>
      <c r="G15" s="327">
        <v>17</v>
      </c>
      <c r="H15" s="295" t="s">
        <v>8</v>
      </c>
      <c r="I15" s="296"/>
      <c r="J15" s="259"/>
      <c r="K15" s="259"/>
      <c r="L15" s="279">
        <f>G15*$L$5</f>
        <v>476</v>
      </c>
      <c r="M15" s="279" t="s">
        <v>120</v>
      </c>
      <c r="N15" s="279"/>
      <c r="O15" s="324">
        <f>L15</f>
        <v>476</v>
      </c>
      <c r="P15" s="324" t="s">
        <v>120</v>
      </c>
      <c r="Q15" s="324"/>
      <c r="R15" s="324">
        <f>O15</f>
        <v>476</v>
      </c>
      <c r="S15" s="324" t="s">
        <v>120</v>
      </c>
      <c r="T15" s="324"/>
      <c r="U15" s="324">
        <f>R15</f>
        <v>476</v>
      </c>
      <c r="V15" s="324" t="s">
        <v>120</v>
      </c>
      <c r="W15" s="324"/>
      <c r="X15" s="324">
        <f>O15</f>
        <v>476</v>
      </c>
      <c r="Y15" s="324" t="s">
        <v>120</v>
      </c>
      <c r="Z15" s="324"/>
      <c r="AA15" s="324">
        <f>X15+AA9*1000*35.5/36.5</f>
        <v>476</v>
      </c>
      <c r="AB15" s="324" t="s">
        <v>120</v>
      </c>
      <c r="AC15" s="267"/>
      <c r="AD15" s="267" t="s">
        <v>4</v>
      </c>
      <c r="AE15" s="318">
        <f>AA15</f>
        <v>476</v>
      </c>
      <c r="AF15" s="318" t="s">
        <v>120</v>
      </c>
      <c r="AG15" s="269"/>
      <c r="AH15" s="318">
        <f>AE15+482.28*AH5</f>
        <v>476</v>
      </c>
      <c r="AI15" s="318" t="s">
        <v>120</v>
      </c>
      <c r="AJ15" s="318"/>
      <c r="AK15" s="318">
        <f>AH15+AK10*70.906</f>
        <v>476</v>
      </c>
      <c r="AL15" s="318" t="s">
        <v>120</v>
      </c>
      <c r="AM15" s="269"/>
      <c r="AN15" s="318">
        <f>AK15+174.39*AN5</f>
        <v>476</v>
      </c>
      <c r="AO15" s="318" t="s">
        <v>120</v>
      </c>
      <c r="AP15" s="269"/>
      <c r="AQ15" s="318">
        <f>AN15</f>
        <v>476</v>
      </c>
      <c r="AR15" s="318" t="s">
        <v>120</v>
      </c>
      <c r="AS15" s="269"/>
      <c r="AT15" s="318">
        <f>AQ15+606.66*AT5</f>
        <v>476</v>
      </c>
      <c r="AU15" s="318" t="s">
        <v>120</v>
      </c>
      <c r="AV15" s="269"/>
      <c r="AW15" s="318">
        <f>AT15</f>
        <v>476</v>
      </c>
      <c r="AX15" s="318" t="s">
        <v>120</v>
      </c>
      <c r="AY15" s="269"/>
      <c r="BA15" s="319">
        <f>AW15+$BA$5*VLOOKUP($BA$6,'Infos &amp; Hilfseinträge'!$V$7:$AB$22,4,FALSE)</f>
        <v>476</v>
      </c>
      <c r="BB15" s="319" t="s">
        <v>120</v>
      </c>
      <c r="BD15" s="325">
        <f t="shared" si="1"/>
        <v>476</v>
      </c>
      <c r="BE15" s="322" t="str">
        <f t="shared" si="0"/>
        <v>[mg]</v>
      </c>
      <c r="BH15" s="261"/>
      <c r="BI15" s="309"/>
      <c r="BJ15" s="310" t="s">
        <v>4</v>
      </c>
      <c r="BK15" s="323">
        <f>BA15/$L$4</f>
        <v>17</v>
      </c>
      <c r="BL15" s="311" t="s">
        <v>8</v>
      </c>
      <c r="BM15" s="310"/>
      <c r="BN15" s="263"/>
      <c r="BO15" s="263">
        <v>0</v>
      </c>
      <c r="BP15" s="263">
        <v>150</v>
      </c>
      <c r="BQ15" s="263">
        <v>250</v>
      </c>
      <c r="BR15" s="263" t="s">
        <v>8</v>
      </c>
      <c r="BS15" s="326"/>
    </row>
    <row r="16" spans="1:71" x14ac:dyDescent="0.25">
      <c r="A16" s="259"/>
      <c r="B16" s="259"/>
      <c r="C16" s="259"/>
      <c r="D16" s="293"/>
      <c r="E16" s="295" t="s">
        <v>30</v>
      </c>
      <c r="F16" s="295" t="s">
        <v>32</v>
      </c>
      <c r="G16" s="312">
        <v>10</v>
      </c>
      <c r="H16" s="295" t="s">
        <v>8</v>
      </c>
      <c r="I16" s="296"/>
      <c r="J16" s="259"/>
      <c r="K16" s="259"/>
      <c r="L16" s="279">
        <f>G16*$L$5</f>
        <v>280</v>
      </c>
      <c r="M16" s="279" t="s">
        <v>120</v>
      </c>
      <c r="N16" s="279"/>
      <c r="O16" s="324">
        <f>L16</f>
        <v>280</v>
      </c>
      <c r="P16" s="324" t="s">
        <v>120</v>
      </c>
      <c r="Q16" s="324"/>
      <c r="R16" s="324">
        <f>O16</f>
        <v>280</v>
      </c>
      <c r="S16" s="324" t="s">
        <v>120</v>
      </c>
      <c r="T16" s="324"/>
      <c r="U16" s="324">
        <f>R16</f>
        <v>280</v>
      </c>
      <c r="V16" s="324" t="s">
        <v>120</v>
      </c>
      <c r="W16" s="324"/>
      <c r="X16" s="324">
        <f>O16</f>
        <v>280</v>
      </c>
      <c r="Y16" s="324" t="s">
        <v>120</v>
      </c>
      <c r="Z16" s="324"/>
      <c r="AA16" s="324">
        <f>X16</f>
        <v>280</v>
      </c>
      <c r="AB16" s="324" t="s">
        <v>120</v>
      </c>
      <c r="AC16" s="267"/>
      <c r="AD16" s="267" t="s">
        <v>30</v>
      </c>
      <c r="AE16" s="318">
        <f>AA16</f>
        <v>280</v>
      </c>
      <c r="AF16" s="318" t="s">
        <v>120</v>
      </c>
      <c r="AG16" s="269"/>
      <c r="AH16" s="318">
        <f>AE16</f>
        <v>280</v>
      </c>
      <c r="AI16" s="318" t="s">
        <v>120</v>
      </c>
      <c r="AJ16" s="318"/>
      <c r="AK16" s="318">
        <f>AH16</f>
        <v>280</v>
      </c>
      <c r="AL16" s="318" t="s">
        <v>120</v>
      </c>
      <c r="AM16" s="269"/>
      <c r="AN16" s="318">
        <f>AK16</f>
        <v>280</v>
      </c>
      <c r="AO16" s="318" t="s">
        <v>120</v>
      </c>
      <c r="AP16" s="269"/>
      <c r="AQ16" s="318">
        <f>AN16</f>
        <v>280</v>
      </c>
      <c r="AR16" s="318" t="s">
        <v>120</v>
      </c>
      <c r="AS16" s="269"/>
      <c r="AT16" s="318">
        <f>AQ16</f>
        <v>280</v>
      </c>
      <c r="AU16" s="318" t="s">
        <v>120</v>
      </c>
      <c r="AV16" s="269"/>
      <c r="AW16" s="318">
        <f>AT16</f>
        <v>280</v>
      </c>
      <c r="AX16" s="318" t="s">
        <v>120</v>
      </c>
      <c r="AY16" s="269"/>
      <c r="BA16" s="328">
        <f>AW16</f>
        <v>280</v>
      </c>
      <c r="BB16" s="319" t="s">
        <v>120</v>
      </c>
      <c r="BD16" s="321">
        <f t="shared" si="1"/>
        <v>280</v>
      </c>
      <c r="BE16" s="322" t="str">
        <f t="shared" si="0"/>
        <v>[mg]</v>
      </c>
      <c r="BH16" s="261"/>
      <c r="BI16" s="309"/>
      <c r="BJ16" s="310" t="s">
        <v>30</v>
      </c>
      <c r="BK16" s="323">
        <f>BA16/$L$4</f>
        <v>10</v>
      </c>
      <c r="BL16" s="311" t="s">
        <v>8</v>
      </c>
      <c r="BM16" s="310"/>
      <c r="BN16" s="263"/>
      <c r="BO16" s="263"/>
      <c r="BP16" s="263">
        <v>40</v>
      </c>
      <c r="BQ16" s="263"/>
      <c r="BR16" s="263" t="s">
        <v>8</v>
      </c>
      <c r="BS16" s="263"/>
    </row>
    <row r="17" spans="1:71" x14ac:dyDescent="0.25">
      <c r="A17" s="259"/>
      <c r="B17" s="259"/>
      <c r="C17" s="259"/>
      <c r="D17" s="293"/>
      <c r="E17" s="295" t="s">
        <v>31</v>
      </c>
      <c r="F17" s="295" t="s">
        <v>33</v>
      </c>
      <c r="G17" s="312">
        <v>0.01</v>
      </c>
      <c r="H17" s="295" t="s">
        <v>8</v>
      </c>
      <c r="I17" s="296"/>
      <c r="J17" s="259"/>
      <c r="K17" s="259"/>
      <c r="L17" s="279">
        <f>G17*$L$5</f>
        <v>0.28000000000000003</v>
      </c>
      <c r="M17" s="279" t="s">
        <v>120</v>
      </c>
      <c r="N17" s="279"/>
      <c r="O17" s="324">
        <f>L17</f>
        <v>0.28000000000000003</v>
      </c>
      <c r="P17" s="324" t="s">
        <v>120</v>
      </c>
      <c r="Q17" s="324"/>
      <c r="R17" s="324">
        <f>O17</f>
        <v>0.28000000000000003</v>
      </c>
      <c r="S17" s="324" t="s">
        <v>120</v>
      </c>
      <c r="T17" s="324"/>
      <c r="U17" s="324">
        <f>R17</f>
        <v>0.28000000000000003</v>
      </c>
      <c r="V17" s="324" t="s">
        <v>120</v>
      </c>
      <c r="W17" s="324"/>
      <c r="X17" s="324">
        <f>O17</f>
        <v>0.28000000000000003</v>
      </c>
      <c r="Y17" s="324" t="s">
        <v>120</v>
      </c>
      <c r="Z17" s="324"/>
      <c r="AA17" s="324">
        <f>X17</f>
        <v>0.28000000000000003</v>
      </c>
      <c r="AB17" s="324" t="s">
        <v>120</v>
      </c>
      <c r="AC17" s="267"/>
      <c r="AD17" s="267" t="s">
        <v>31</v>
      </c>
      <c r="AE17" s="318">
        <f>AA17</f>
        <v>0.28000000000000003</v>
      </c>
      <c r="AF17" s="318" t="s">
        <v>120</v>
      </c>
      <c r="AG17" s="269"/>
      <c r="AH17" s="318">
        <f>AE17</f>
        <v>0.28000000000000003</v>
      </c>
      <c r="AI17" s="318" t="s">
        <v>120</v>
      </c>
      <c r="AJ17" s="318"/>
      <c r="AK17" s="318">
        <f>AH17</f>
        <v>0.28000000000000003</v>
      </c>
      <c r="AL17" s="318" t="s">
        <v>120</v>
      </c>
      <c r="AM17" s="269"/>
      <c r="AN17" s="318">
        <f>AK17</f>
        <v>0.28000000000000003</v>
      </c>
      <c r="AO17" s="318" t="s">
        <v>120</v>
      </c>
      <c r="AP17" s="269"/>
      <c r="AQ17" s="318">
        <f>AN17</f>
        <v>0.28000000000000003</v>
      </c>
      <c r="AR17" s="318" t="s">
        <v>120</v>
      </c>
      <c r="AS17" s="269"/>
      <c r="AT17" s="318">
        <f>AQ17</f>
        <v>0.28000000000000003</v>
      </c>
      <c r="AU17" s="318" t="s">
        <v>120</v>
      </c>
      <c r="AV17" s="269"/>
      <c r="AW17" s="318">
        <f>AT17</f>
        <v>0.28000000000000003</v>
      </c>
      <c r="AX17" s="318" t="s">
        <v>120</v>
      </c>
      <c r="AY17" s="269"/>
      <c r="BA17" s="328">
        <f>AW17</f>
        <v>0.28000000000000003</v>
      </c>
      <c r="BB17" s="319" t="s">
        <v>120</v>
      </c>
      <c r="BD17" s="321">
        <f t="shared" si="1"/>
        <v>0.28000000000000003</v>
      </c>
      <c r="BE17" s="322" t="str">
        <f t="shared" si="0"/>
        <v>[mg]</v>
      </c>
      <c r="BH17" s="261"/>
      <c r="BI17" s="309"/>
      <c r="BJ17" s="310" t="s">
        <v>31</v>
      </c>
      <c r="BK17" s="323">
        <f>BA17/$L$4</f>
        <v>0.01</v>
      </c>
      <c r="BL17" s="311" t="s">
        <v>8</v>
      </c>
      <c r="BM17" s="310"/>
      <c r="BN17" s="263"/>
      <c r="BO17" s="263"/>
      <c r="BP17" s="263">
        <v>3</v>
      </c>
      <c r="BQ17" s="263">
        <v>0.5</v>
      </c>
      <c r="BR17" s="263" t="s">
        <v>8</v>
      </c>
      <c r="BS17" s="263"/>
    </row>
    <row r="18" spans="1:71" x14ac:dyDescent="0.25">
      <c r="A18" s="259"/>
      <c r="B18" s="259"/>
      <c r="C18" s="259"/>
      <c r="D18" s="293"/>
      <c r="E18" s="295"/>
      <c r="F18" s="295"/>
      <c r="G18" s="295"/>
      <c r="H18" s="295"/>
      <c r="I18" s="296"/>
      <c r="J18" s="259"/>
      <c r="K18" s="259"/>
      <c r="L18" s="279"/>
      <c r="M18" s="279"/>
      <c r="N18" s="279"/>
      <c r="O18" s="324"/>
      <c r="P18" s="324"/>
      <c r="Q18" s="324"/>
      <c r="R18" s="324"/>
      <c r="S18" s="324"/>
      <c r="T18" s="324"/>
      <c r="U18" s="324"/>
      <c r="V18" s="324"/>
      <c r="W18" s="324"/>
      <c r="X18" s="324"/>
      <c r="Y18" s="324"/>
      <c r="Z18" s="324"/>
      <c r="AA18" s="324"/>
      <c r="AB18" s="324"/>
      <c r="AC18" s="267"/>
      <c r="AD18" s="267"/>
      <c r="AE18" s="269"/>
      <c r="AF18" s="318"/>
      <c r="AG18" s="269"/>
      <c r="AH18" s="269"/>
      <c r="AI18" s="318"/>
      <c r="AJ18" s="318"/>
      <c r="AK18" s="318"/>
      <c r="AL18" s="318"/>
      <c r="AM18" s="269"/>
      <c r="AN18" s="269"/>
      <c r="AO18" s="318"/>
      <c r="AP18" s="269"/>
      <c r="AQ18" s="269"/>
      <c r="AR18" s="318"/>
      <c r="AS18" s="269"/>
      <c r="AT18" s="269"/>
      <c r="AU18" s="318"/>
      <c r="AV18" s="269"/>
      <c r="AW18" s="269"/>
      <c r="AX18" s="318"/>
      <c r="AY18" s="269"/>
      <c r="BB18" s="319"/>
      <c r="BD18" s="322"/>
      <c r="BE18" s="322"/>
      <c r="BH18" s="261"/>
      <c r="BI18" s="309"/>
      <c r="BJ18" s="310"/>
      <c r="BK18" s="310"/>
      <c r="BL18" s="311"/>
      <c r="BM18" s="310"/>
      <c r="BN18" s="263"/>
      <c r="BO18" s="263"/>
      <c r="BP18" s="263"/>
      <c r="BQ18" s="263"/>
      <c r="BR18" s="263"/>
      <c r="BS18" s="263"/>
    </row>
    <row r="19" spans="1:71" x14ac:dyDescent="0.25">
      <c r="A19" s="259"/>
      <c r="B19" s="259"/>
      <c r="C19" s="259"/>
      <c r="D19" s="293"/>
      <c r="E19" s="306" t="s">
        <v>1</v>
      </c>
      <c r="F19" s="306"/>
      <c r="G19" s="295"/>
      <c r="H19" s="295"/>
      <c r="I19" s="296"/>
      <c r="J19" s="259"/>
      <c r="K19" s="259"/>
      <c r="L19" s="279"/>
      <c r="M19" s="279"/>
      <c r="N19" s="279"/>
      <c r="O19" s="324"/>
      <c r="P19" s="324"/>
      <c r="Q19" s="324"/>
      <c r="R19" s="324"/>
      <c r="S19" s="324"/>
      <c r="T19" s="324"/>
      <c r="U19" s="324"/>
      <c r="V19" s="324"/>
      <c r="W19" s="324"/>
      <c r="X19" s="324"/>
      <c r="Y19" s="324"/>
      <c r="Z19" s="324"/>
      <c r="AA19" s="324"/>
      <c r="AB19" s="324"/>
      <c r="AC19" s="267"/>
      <c r="AD19" s="275" t="s">
        <v>1</v>
      </c>
      <c r="AE19" s="269"/>
      <c r="AF19" s="318"/>
      <c r="AG19" s="269"/>
      <c r="AH19" s="269"/>
      <c r="AI19" s="318"/>
      <c r="AJ19" s="318"/>
      <c r="AK19" s="318"/>
      <c r="AL19" s="318"/>
      <c r="AM19" s="269"/>
      <c r="AN19" s="269"/>
      <c r="AO19" s="318"/>
      <c r="AP19" s="269"/>
      <c r="AQ19" s="269"/>
      <c r="AR19" s="318"/>
      <c r="AS19" s="269"/>
      <c r="AT19" s="269"/>
      <c r="AU19" s="318"/>
      <c r="AV19" s="269"/>
      <c r="AW19" s="269"/>
      <c r="AX19" s="318"/>
      <c r="AY19" s="269"/>
      <c r="BB19" s="319"/>
      <c r="BD19" s="322"/>
      <c r="BE19" s="322"/>
      <c r="BH19" s="261"/>
      <c r="BI19" s="313"/>
      <c r="BJ19" s="314" t="s">
        <v>1</v>
      </c>
      <c r="BK19" s="310"/>
      <c r="BL19" s="311"/>
      <c r="BM19" s="310"/>
      <c r="BN19" s="263"/>
      <c r="BO19" s="263"/>
      <c r="BP19" s="263"/>
      <c r="BQ19" s="263"/>
      <c r="BR19" s="263"/>
      <c r="BS19" s="263"/>
    </row>
    <row r="20" spans="1:71" x14ac:dyDescent="0.25">
      <c r="A20" s="259"/>
      <c r="B20" s="259"/>
      <c r="C20" s="259"/>
      <c r="D20" s="293"/>
      <c r="E20" s="295" t="s">
        <v>5</v>
      </c>
      <c r="F20" s="295" t="s">
        <v>13</v>
      </c>
      <c r="G20" s="312">
        <v>26.4</v>
      </c>
      <c r="H20" s="295" t="s">
        <v>8</v>
      </c>
      <c r="I20" s="296"/>
      <c r="J20" s="259"/>
      <c r="K20" s="259"/>
      <c r="L20" s="279">
        <f>G20*$L$5</f>
        <v>739.19999999999993</v>
      </c>
      <c r="M20" s="279" t="s">
        <v>120</v>
      </c>
      <c r="N20" s="279"/>
      <c r="O20" s="324">
        <f>L20</f>
        <v>739.19999999999993</v>
      </c>
      <c r="P20" s="324" t="s">
        <v>120</v>
      </c>
      <c r="Q20" s="324"/>
      <c r="R20" s="324">
        <f>O20</f>
        <v>739.19999999999993</v>
      </c>
      <c r="S20" s="324" t="s">
        <v>120</v>
      </c>
      <c r="T20" s="324"/>
      <c r="U20" s="324">
        <f>R20</f>
        <v>739.19999999999993</v>
      </c>
      <c r="V20" s="324" t="s">
        <v>120</v>
      </c>
      <c r="W20" s="324"/>
      <c r="X20" s="324">
        <f>O20</f>
        <v>739.19999999999993</v>
      </c>
      <c r="Y20" s="324" t="s">
        <v>120</v>
      </c>
      <c r="Z20" s="324"/>
      <c r="AA20" s="324">
        <f>X20</f>
        <v>739.19999999999993</v>
      </c>
      <c r="AB20" s="324" t="s">
        <v>120</v>
      </c>
      <c r="AC20" s="324"/>
      <c r="AD20" s="324" t="s">
        <v>5</v>
      </c>
      <c r="AE20" s="318">
        <f>AA20+232.78*AE5</f>
        <v>739.19999999999993</v>
      </c>
      <c r="AF20" s="318" t="s">
        <v>120</v>
      </c>
      <c r="AG20" s="269"/>
      <c r="AH20" s="318">
        <f>AE20+272.6*AH5</f>
        <v>739.19999999999993</v>
      </c>
      <c r="AI20" s="318" t="s">
        <v>120</v>
      </c>
      <c r="AJ20" s="318"/>
      <c r="AK20" s="318">
        <f>AH20+AK10*40.078</f>
        <v>739.19999999999993</v>
      </c>
      <c r="AL20" s="318" t="s">
        <v>120</v>
      </c>
      <c r="AM20" s="269"/>
      <c r="AN20" s="318">
        <f>AK20</f>
        <v>739.19999999999993</v>
      </c>
      <c r="AO20" s="318" t="s">
        <v>120</v>
      </c>
      <c r="AP20" s="269"/>
      <c r="AQ20" s="318">
        <f>AN20</f>
        <v>739.19999999999993</v>
      </c>
      <c r="AR20" s="318" t="s">
        <v>120</v>
      </c>
      <c r="AS20" s="269"/>
      <c r="AT20" s="318">
        <f>AQ20</f>
        <v>739.19999999999993</v>
      </c>
      <c r="AU20" s="318" t="s">
        <v>120</v>
      </c>
      <c r="AV20" s="269"/>
      <c r="AW20" s="318">
        <f>AT20</f>
        <v>739.19999999999993</v>
      </c>
      <c r="AX20" s="318" t="s">
        <v>120</v>
      </c>
      <c r="AY20" s="269"/>
      <c r="BA20" s="319">
        <f>AW20+$BA$5*VLOOKUP($BA$6,'Infos &amp; Hilfseinträge'!$V$7:$AB$22,5,FALSE)</f>
        <v>739.19999999999993</v>
      </c>
      <c r="BB20" s="319" t="s">
        <v>120</v>
      </c>
      <c r="BD20" s="321">
        <f t="shared" si="1"/>
        <v>739.19999999999993</v>
      </c>
      <c r="BE20" s="322" t="str">
        <f>AB20</f>
        <v>[mg]</v>
      </c>
      <c r="BH20" s="261"/>
      <c r="BI20" s="309"/>
      <c r="BJ20" s="310" t="s">
        <v>5</v>
      </c>
      <c r="BK20" s="323">
        <f>BA20/$L$4</f>
        <v>26.4</v>
      </c>
      <c r="BL20" s="311" t="s">
        <v>8</v>
      </c>
      <c r="BM20" s="310"/>
      <c r="BN20" s="263"/>
      <c r="BO20" s="263">
        <v>50</v>
      </c>
      <c r="BP20" s="263">
        <v>150</v>
      </c>
      <c r="BQ20" s="263"/>
      <c r="BR20" s="263" t="s">
        <v>8</v>
      </c>
      <c r="BS20" s="326"/>
    </row>
    <row r="21" spans="1:71" x14ac:dyDescent="0.25">
      <c r="A21" s="259"/>
      <c r="B21" s="259"/>
      <c r="C21" s="259"/>
      <c r="D21" s="293"/>
      <c r="E21" s="295" t="s">
        <v>6</v>
      </c>
      <c r="F21" s="295" t="s">
        <v>14</v>
      </c>
      <c r="G21" s="312">
        <v>11.2</v>
      </c>
      <c r="H21" s="295" t="s">
        <v>8</v>
      </c>
      <c r="I21" s="296"/>
      <c r="J21" s="259"/>
      <c r="K21" s="259"/>
      <c r="L21" s="279">
        <f>G21*$L$5</f>
        <v>313.59999999999997</v>
      </c>
      <c r="M21" s="279" t="s">
        <v>120</v>
      </c>
      <c r="N21" s="279"/>
      <c r="O21" s="324">
        <f>L21</f>
        <v>313.59999999999997</v>
      </c>
      <c r="P21" s="324" t="s">
        <v>120</v>
      </c>
      <c r="Q21" s="324"/>
      <c r="R21" s="324">
        <f>O21</f>
        <v>313.59999999999997</v>
      </c>
      <c r="S21" s="324" t="s">
        <v>120</v>
      </c>
      <c r="T21" s="324"/>
      <c r="U21" s="324">
        <f>R21</f>
        <v>313.59999999999997</v>
      </c>
      <c r="V21" s="324" t="s">
        <v>120</v>
      </c>
      <c r="W21" s="324"/>
      <c r="X21" s="324">
        <f>O21</f>
        <v>313.59999999999997</v>
      </c>
      <c r="Y21" s="324" t="s">
        <v>120</v>
      </c>
      <c r="Z21" s="324"/>
      <c r="AA21" s="324">
        <f>X21</f>
        <v>313.59999999999997</v>
      </c>
      <c r="AB21" s="324" t="s">
        <v>120</v>
      </c>
      <c r="AC21" s="267"/>
      <c r="AD21" s="267" t="s">
        <v>6</v>
      </c>
      <c r="AE21" s="318">
        <f>AA21</f>
        <v>313.59999999999997</v>
      </c>
      <c r="AF21" s="318" t="s">
        <v>120</v>
      </c>
      <c r="AG21" s="269"/>
      <c r="AH21" s="318">
        <f>AE21</f>
        <v>313.59999999999997</v>
      </c>
      <c r="AI21" s="318" t="s">
        <v>120</v>
      </c>
      <c r="AJ21" s="318"/>
      <c r="AK21" s="318">
        <f>AH21</f>
        <v>313.59999999999997</v>
      </c>
      <c r="AL21" s="318" t="s">
        <v>120</v>
      </c>
      <c r="AM21" s="269"/>
      <c r="AN21" s="318">
        <f>AK21+98.59*AN5</f>
        <v>313.59999999999997</v>
      </c>
      <c r="AO21" s="318" t="s">
        <v>120</v>
      </c>
      <c r="AP21" s="269"/>
      <c r="AQ21" s="318">
        <f>AN21+98.59*AQ5</f>
        <v>313.59999999999997</v>
      </c>
      <c r="AR21" s="318" t="s">
        <v>120</v>
      </c>
      <c r="AS21" s="269"/>
      <c r="AT21" s="318">
        <f>AQ21</f>
        <v>313.59999999999997</v>
      </c>
      <c r="AU21" s="318" t="s">
        <v>120</v>
      </c>
      <c r="AV21" s="269"/>
      <c r="AW21" s="318">
        <f>AT21</f>
        <v>313.59999999999997</v>
      </c>
      <c r="AX21" s="318" t="s">
        <v>120</v>
      </c>
      <c r="AY21" s="269"/>
      <c r="BA21" s="319">
        <f>AW21+$BA$5*VLOOKUP($BA$6,'Infos &amp; Hilfseinträge'!$V$7:$AB$22,6,FALSE)</f>
        <v>313.59999999999997</v>
      </c>
      <c r="BB21" s="319" t="s">
        <v>120</v>
      </c>
      <c r="BD21" s="321">
        <f t="shared" si="1"/>
        <v>313.59999999999997</v>
      </c>
      <c r="BE21" s="322" t="str">
        <f>AB21</f>
        <v>[mg]</v>
      </c>
      <c r="BH21" s="261"/>
      <c r="BI21" s="309"/>
      <c r="BJ21" s="310" t="s">
        <v>6</v>
      </c>
      <c r="BK21" s="323">
        <f>BA21/$L$4</f>
        <v>11.2</v>
      </c>
      <c r="BL21" s="311" t="s">
        <v>8</v>
      </c>
      <c r="BM21" s="310"/>
      <c r="BN21" s="263"/>
      <c r="BO21" s="263">
        <v>0</v>
      </c>
      <c r="BP21" s="263">
        <v>20</v>
      </c>
      <c r="BQ21" s="263"/>
      <c r="BR21" s="263" t="s">
        <v>8</v>
      </c>
      <c r="BS21" s="326"/>
    </row>
    <row r="22" spans="1:71" x14ac:dyDescent="0.25">
      <c r="A22" s="259"/>
      <c r="B22" s="259"/>
      <c r="C22" s="259"/>
      <c r="D22" s="293"/>
      <c r="E22" s="295" t="s">
        <v>7</v>
      </c>
      <c r="F22" s="295" t="s">
        <v>15</v>
      </c>
      <c r="G22" s="312">
        <v>7.12</v>
      </c>
      <c r="H22" s="295" t="s">
        <v>8</v>
      </c>
      <c r="I22" s="296"/>
      <c r="J22" s="259"/>
      <c r="K22" s="259"/>
      <c r="L22" s="279">
        <f>G22*$L$5</f>
        <v>199.36</v>
      </c>
      <c r="M22" s="279" t="s">
        <v>120</v>
      </c>
      <c r="N22" s="279"/>
      <c r="O22" s="324">
        <f>L22</f>
        <v>199.36</v>
      </c>
      <c r="P22" s="324" t="s">
        <v>120</v>
      </c>
      <c r="Q22" s="324"/>
      <c r="R22" s="324">
        <f>O22</f>
        <v>199.36</v>
      </c>
      <c r="S22" s="324" t="s">
        <v>120</v>
      </c>
      <c r="T22" s="324"/>
      <c r="U22" s="324">
        <f>R22</f>
        <v>199.36</v>
      </c>
      <c r="V22" s="324" t="s">
        <v>120</v>
      </c>
      <c r="W22" s="324"/>
      <c r="X22" s="324">
        <f>O22</f>
        <v>199.36</v>
      </c>
      <c r="Y22" s="324" t="s">
        <v>120</v>
      </c>
      <c r="Z22" s="324"/>
      <c r="AA22" s="324">
        <f>X22</f>
        <v>199.36</v>
      </c>
      <c r="AB22" s="324" t="s">
        <v>120</v>
      </c>
      <c r="AC22" s="267"/>
      <c r="AD22" s="267" t="s">
        <v>7</v>
      </c>
      <c r="AE22" s="318">
        <f>AA22</f>
        <v>199.36</v>
      </c>
      <c r="AF22" s="318" t="s">
        <v>120</v>
      </c>
      <c r="AG22" s="269"/>
      <c r="AH22" s="318">
        <f>AE22</f>
        <v>199.36</v>
      </c>
      <c r="AI22" s="318" t="s">
        <v>120</v>
      </c>
      <c r="AJ22" s="318"/>
      <c r="AK22" s="318">
        <f>AH22</f>
        <v>199.36</v>
      </c>
      <c r="AL22" s="318" t="s">
        <v>120</v>
      </c>
      <c r="AM22" s="269"/>
      <c r="AN22" s="318">
        <f>AK22</f>
        <v>199.36</v>
      </c>
      <c r="AO22" s="318" t="s">
        <v>120</v>
      </c>
      <c r="AP22" s="269"/>
      <c r="AQ22" s="318">
        <f>AN22</f>
        <v>199.36</v>
      </c>
      <c r="AR22" s="318" t="s">
        <v>120</v>
      </c>
      <c r="AS22" s="269"/>
      <c r="AT22" s="318">
        <f>AQ22+393.39*AT5</f>
        <v>199.36</v>
      </c>
      <c r="AU22" s="318" t="s">
        <v>120</v>
      </c>
      <c r="AV22" s="269"/>
      <c r="AW22" s="318">
        <f>AT22+273.66*AW5</f>
        <v>199.36</v>
      </c>
      <c r="AX22" s="318" t="s">
        <v>120</v>
      </c>
      <c r="AY22" s="269"/>
      <c r="BA22" s="319">
        <f>AW22+$BA$5*VLOOKUP($BA$6,'Infos &amp; Hilfseinträge'!$V$7:$AB$22,7,FALSE)</f>
        <v>199.36</v>
      </c>
      <c r="BB22" s="319" t="s">
        <v>120</v>
      </c>
      <c r="BD22" s="321">
        <f t="shared" si="1"/>
        <v>199.36</v>
      </c>
      <c r="BE22" s="322" t="str">
        <f>AB22</f>
        <v>[mg]</v>
      </c>
      <c r="BH22" s="261"/>
      <c r="BI22" s="309"/>
      <c r="BJ22" s="310" t="s">
        <v>7</v>
      </c>
      <c r="BK22" s="323">
        <f>BA22/$L$4</f>
        <v>7.12</v>
      </c>
      <c r="BL22" s="311" t="s">
        <v>8</v>
      </c>
      <c r="BM22" s="310"/>
      <c r="BN22" s="263"/>
      <c r="BO22" s="263">
        <v>0</v>
      </c>
      <c r="BP22" s="263">
        <v>50</v>
      </c>
      <c r="BQ22" s="263"/>
      <c r="BR22" s="263" t="s">
        <v>8</v>
      </c>
      <c r="BS22" s="263"/>
    </row>
    <row r="23" spans="1:71" x14ac:dyDescent="0.25">
      <c r="A23" s="259"/>
      <c r="B23" s="259"/>
      <c r="C23" s="259"/>
      <c r="D23" s="293"/>
      <c r="E23" s="295"/>
      <c r="F23" s="295"/>
      <c r="G23" s="295"/>
      <c r="H23" s="295"/>
      <c r="I23" s="296"/>
      <c r="J23" s="259"/>
      <c r="K23" s="259"/>
      <c r="L23" s="259"/>
      <c r="M23" s="259"/>
      <c r="N23" s="259"/>
      <c r="O23" s="267"/>
      <c r="P23" s="267"/>
      <c r="Q23" s="267"/>
      <c r="R23" s="267"/>
      <c r="S23" s="267"/>
      <c r="T23" s="267"/>
      <c r="U23" s="267"/>
      <c r="V23" s="267"/>
      <c r="W23" s="267"/>
      <c r="X23" s="267"/>
      <c r="Y23" s="267"/>
      <c r="Z23" s="267"/>
      <c r="AA23" s="267"/>
      <c r="AB23" s="267"/>
      <c r="AC23" s="267"/>
      <c r="AD23" s="267"/>
      <c r="AE23" s="269"/>
      <c r="AF23" s="269"/>
      <c r="AG23" s="269"/>
      <c r="AH23" s="269"/>
      <c r="AI23" s="269"/>
      <c r="AJ23" s="269"/>
      <c r="AK23" s="269"/>
      <c r="AL23" s="269"/>
      <c r="AM23" s="269"/>
      <c r="AN23" s="269"/>
      <c r="AO23" s="269"/>
      <c r="AP23" s="269"/>
      <c r="AQ23" s="269"/>
      <c r="AR23" s="269"/>
      <c r="AS23" s="269"/>
      <c r="AT23" s="269"/>
      <c r="AU23" s="269"/>
      <c r="AV23" s="269"/>
      <c r="AW23" s="269"/>
      <c r="AX23" s="269"/>
      <c r="AY23" s="269"/>
      <c r="BA23" s="320"/>
      <c r="BB23" s="320"/>
      <c r="BD23" s="321"/>
      <c r="BE23" s="322"/>
      <c r="BH23" s="261"/>
      <c r="BI23" s="309"/>
      <c r="BJ23" s="310"/>
      <c r="BK23" s="310"/>
      <c r="BL23" s="311"/>
      <c r="BM23" s="310"/>
      <c r="BN23" s="263"/>
      <c r="BO23" s="263"/>
      <c r="BP23" s="263"/>
      <c r="BQ23" s="263"/>
      <c r="BR23" s="263"/>
      <c r="BS23" s="263"/>
    </row>
    <row r="24" spans="1:71" x14ac:dyDescent="0.25">
      <c r="A24" s="259"/>
      <c r="B24" s="259"/>
      <c r="C24" s="259"/>
      <c r="D24" s="293"/>
      <c r="E24" s="295" t="s">
        <v>16</v>
      </c>
      <c r="F24" s="295"/>
      <c r="G24" s="316">
        <f>(G20/7.14+G21/4.35)</f>
        <v>6.2721916352747993</v>
      </c>
      <c r="H24" s="295" t="s">
        <v>19</v>
      </c>
      <c r="I24" s="296"/>
      <c r="J24" s="259"/>
      <c r="K24" s="259"/>
      <c r="L24" s="279">
        <f>(L20/7.14+L21/4.35)/$L$5</f>
        <v>6.2721916352748002</v>
      </c>
      <c r="M24" s="259" t="s">
        <v>19</v>
      </c>
      <c r="N24" s="259"/>
      <c r="O24" s="324">
        <f>(O20/7.14+O21/4.35)/$L$5</f>
        <v>6.2721916352748002</v>
      </c>
      <c r="P24" s="267" t="s">
        <v>19</v>
      </c>
      <c r="Q24" s="267"/>
      <c r="R24" s="324">
        <f>(R20/7.14+R21/4.35)/$L$5</f>
        <v>6.2721916352748002</v>
      </c>
      <c r="S24" s="267" t="s">
        <v>19</v>
      </c>
      <c r="T24" s="267"/>
      <c r="U24" s="324">
        <f>(U20/7.14+U21/4.35)/$L$5</f>
        <v>6.2721916352748002</v>
      </c>
      <c r="V24" s="267" t="s">
        <v>19</v>
      </c>
      <c r="W24" s="267"/>
      <c r="X24" s="324">
        <f>(X20/7.14+X21/4.35)/$L$5</f>
        <v>6.2721916352748002</v>
      </c>
      <c r="Y24" s="267" t="s">
        <v>19</v>
      </c>
      <c r="Z24" s="267"/>
      <c r="AA24" s="324">
        <f>(AA20/7.14+AA21/4.35)/$L$5</f>
        <v>6.2721916352748002</v>
      </c>
      <c r="AB24" s="267" t="s">
        <v>19</v>
      </c>
      <c r="AC24" s="267"/>
      <c r="AD24" s="267" t="s">
        <v>16</v>
      </c>
      <c r="AE24" s="318">
        <f>(AE20/7.14+AE21/4.35)/$L$5</f>
        <v>6.2721916352748002</v>
      </c>
      <c r="AF24" s="269" t="s">
        <v>19</v>
      </c>
      <c r="AG24" s="269"/>
      <c r="AH24" s="318">
        <f>(AH20/7.14+AH21/4.35)/$L$5</f>
        <v>6.2721916352748002</v>
      </c>
      <c r="AI24" s="269" t="s">
        <v>19</v>
      </c>
      <c r="AJ24" s="269"/>
      <c r="AK24" s="318">
        <f>(AK20/7.14+AK21/4.35)/$L$5</f>
        <v>6.2721916352748002</v>
      </c>
      <c r="AL24" s="269" t="s">
        <v>19</v>
      </c>
      <c r="AM24" s="269"/>
      <c r="AN24" s="318">
        <f>(AN20/7.14+AN21/4.35)/$L$5</f>
        <v>6.2721916352748002</v>
      </c>
      <c r="AO24" s="269" t="s">
        <v>19</v>
      </c>
      <c r="AP24" s="269"/>
      <c r="AQ24" s="318">
        <f>(AQ20/7.14+AQ21/4.35)/$L$5</f>
        <v>6.2721916352748002</v>
      </c>
      <c r="AR24" s="269" t="s">
        <v>19</v>
      </c>
      <c r="AS24" s="269"/>
      <c r="AT24" s="318">
        <f>(AT20/7.14+AT21/4.35)/$L$5</f>
        <v>6.2721916352748002</v>
      </c>
      <c r="AU24" s="269" t="s">
        <v>19</v>
      </c>
      <c r="AV24" s="269"/>
      <c r="AW24" s="318">
        <f>(AW20/7.14+AW21/4.35)/$L$5</f>
        <v>6.2721916352748002</v>
      </c>
      <c r="AX24" s="269" t="s">
        <v>19</v>
      </c>
      <c r="AY24" s="269"/>
      <c r="BA24" s="319">
        <f>(BA20/7.14+BA21/4.35)/($L$5+BA5)</f>
        <v>6.2721916352748002</v>
      </c>
      <c r="BB24" s="320" t="s">
        <v>19</v>
      </c>
      <c r="BD24" s="321">
        <f t="shared" si="1"/>
        <v>6.2721916352748002</v>
      </c>
      <c r="BE24" s="322" t="str">
        <f>AB24</f>
        <v>[°dH]</v>
      </c>
      <c r="BH24" s="261"/>
      <c r="BI24" s="309"/>
      <c r="BJ24" s="310" t="s">
        <v>16</v>
      </c>
      <c r="BK24" s="323">
        <f>(BK20/7.14+BK21/4.35)</f>
        <v>6.2721916352747993</v>
      </c>
      <c r="BL24" s="311" t="s">
        <v>19</v>
      </c>
      <c r="BM24" s="310"/>
      <c r="BN24" s="329"/>
      <c r="BO24" s="263"/>
      <c r="BP24" s="263"/>
      <c r="BQ24" s="263"/>
      <c r="BR24" s="263"/>
      <c r="BS24" s="263"/>
    </row>
    <row r="25" spans="1:71" x14ac:dyDescent="0.25">
      <c r="A25" s="259"/>
      <c r="B25" s="259"/>
      <c r="C25" s="259"/>
      <c r="D25" s="293"/>
      <c r="E25" s="295" t="s">
        <v>17</v>
      </c>
      <c r="F25" s="295"/>
      <c r="G25" s="316">
        <f>G12*2.8</f>
        <v>4.4799999999999995</v>
      </c>
      <c r="H25" s="295" t="s">
        <v>19</v>
      </c>
      <c r="I25" s="296"/>
      <c r="J25" s="259"/>
      <c r="K25" s="259"/>
      <c r="L25" s="279">
        <f>G25</f>
        <v>4.4799999999999995</v>
      </c>
      <c r="M25" s="259" t="s">
        <v>19</v>
      </c>
      <c r="N25" s="259"/>
      <c r="O25" s="324">
        <f>O12*2.8/$L$5</f>
        <v>4.4799999999999995</v>
      </c>
      <c r="P25" s="267" t="s">
        <v>19</v>
      </c>
      <c r="Q25" s="267"/>
      <c r="R25" s="324">
        <f>R12*2.8/$L$5</f>
        <v>4.4799999999999995</v>
      </c>
      <c r="S25" s="267" t="s">
        <v>19</v>
      </c>
      <c r="T25" s="267"/>
      <c r="U25" s="324">
        <f>U12*2.8/$L$5</f>
        <v>4.4799999999999995</v>
      </c>
      <c r="V25" s="267" t="s">
        <v>19</v>
      </c>
      <c r="W25" s="267"/>
      <c r="X25" s="324">
        <f>X12*2.8/$L$5</f>
        <v>4.4799999999999995</v>
      </c>
      <c r="Y25" s="267" t="s">
        <v>19</v>
      </c>
      <c r="Z25" s="267"/>
      <c r="AA25" s="324">
        <f>AA12*2.8/$L$5</f>
        <v>4.4799999999999995</v>
      </c>
      <c r="AB25" s="267" t="s">
        <v>19</v>
      </c>
      <c r="AC25" s="267"/>
      <c r="AD25" s="267" t="s">
        <v>17</v>
      </c>
      <c r="AE25" s="318">
        <f>AE12*2.8/$L$5</f>
        <v>4.4799999999999995</v>
      </c>
      <c r="AF25" s="269" t="s">
        <v>19</v>
      </c>
      <c r="AG25" s="269"/>
      <c r="AH25" s="318">
        <f>AH12*2.8/$L$5</f>
        <v>4.4799999999999995</v>
      </c>
      <c r="AI25" s="269" t="s">
        <v>19</v>
      </c>
      <c r="AJ25" s="269"/>
      <c r="AK25" s="318">
        <f>AK12*2.8/$L$5</f>
        <v>4.4799999999999995</v>
      </c>
      <c r="AL25" s="269" t="s">
        <v>19</v>
      </c>
      <c r="AM25" s="269"/>
      <c r="AN25" s="318">
        <f>AN12*2.8/$L$5</f>
        <v>4.4799999999999995</v>
      </c>
      <c r="AO25" s="269" t="s">
        <v>19</v>
      </c>
      <c r="AP25" s="269"/>
      <c r="AQ25" s="318">
        <f>AQ12*2.8/$L$5</f>
        <v>4.4799999999999995</v>
      </c>
      <c r="AR25" s="269" t="s">
        <v>19</v>
      </c>
      <c r="AS25" s="269"/>
      <c r="AT25" s="318">
        <f>AT12*2.8/$L$5</f>
        <v>4.4799999999999995</v>
      </c>
      <c r="AU25" s="269" t="s">
        <v>19</v>
      </c>
      <c r="AV25" s="269"/>
      <c r="AW25" s="318">
        <f>AW12*2.8/$L$5</f>
        <v>4.4799999999999995</v>
      </c>
      <c r="AX25" s="269" t="s">
        <v>19</v>
      </c>
      <c r="AY25" s="269"/>
      <c r="BA25" s="319">
        <f>BA12*2.8/($L$5+BA5)</f>
        <v>4.4799999999999995</v>
      </c>
      <c r="BB25" s="320" t="s">
        <v>19</v>
      </c>
      <c r="BD25" s="321">
        <f t="shared" si="1"/>
        <v>4.4799999999999995</v>
      </c>
      <c r="BE25" s="322" t="str">
        <f>AB25</f>
        <v>[°dH]</v>
      </c>
      <c r="BH25" s="261"/>
      <c r="BI25" s="309"/>
      <c r="BJ25" s="310" t="s">
        <v>17</v>
      </c>
      <c r="BK25" s="330">
        <f>BK12*2.8</f>
        <v>4.4799999999999995</v>
      </c>
      <c r="BL25" s="311" t="s">
        <v>19</v>
      </c>
      <c r="BM25" s="310"/>
      <c r="BN25" s="263"/>
      <c r="BO25" s="263"/>
      <c r="BP25" s="263"/>
      <c r="BQ25" s="263"/>
      <c r="BR25" s="263"/>
      <c r="BS25" s="263"/>
    </row>
    <row r="26" spans="1:71" x14ac:dyDescent="0.25">
      <c r="A26" s="259"/>
      <c r="B26" s="259"/>
      <c r="C26" s="259"/>
      <c r="D26" s="293"/>
      <c r="E26" s="295" t="s">
        <v>18</v>
      </c>
      <c r="F26" s="295"/>
      <c r="G26" s="316">
        <f>G24-G25</f>
        <v>1.7921916352747997</v>
      </c>
      <c r="H26" s="295" t="s">
        <v>19</v>
      </c>
      <c r="I26" s="296"/>
      <c r="J26" s="259"/>
      <c r="K26" s="259"/>
      <c r="L26" s="279">
        <f>G26</f>
        <v>1.7921916352747997</v>
      </c>
      <c r="M26" s="259" t="s">
        <v>19</v>
      </c>
      <c r="N26" s="259"/>
      <c r="O26" s="324">
        <f>O24-O25</f>
        <v>1.7921916352748006</v>
      </c>
      <c r="P26" s="267" t="s">
        <v>19</v>
      </c>
      <c r="Q26" s="267"/>
      <c r="R26" s="324">
        <f>R24-R25</f>
        <v>1.7921916352748006</v>
      </c>
      <c r="S26" s="267" t="s">
        <v>19</v>
      </c>
      <c r="T26" s="267"/>
      <c r="U26" s="324">
        <f>U24-U25</f>
        <v>1.7921916352748006</v>
      </c>
      <c r="V26" s="267" t="s">
        <v>19</v>
      </c>
      <c r="W26" s="267"/>
      <c r="X26" s="324">
        <f>X24-X25</f>
        <v>1.7921916352748006</v>
      </c>
      <c r="Y26" s="267" t="s">
        <v>19</v>
      </c>
      <c r="Z26" s="267"/>
      <c r="AA26" s="324">
        <f>AA24-AA25</f>
        <v>1.7921916352748006</v>
      </c>
      <c r="AB26" s="267" t="s">
        <v>19</v>
      </c>
      <c r="AC26" s="267"/>
      <c r="AD26" s="267" t="s">
        <v>18</v>
      </c>
      <c r="AE26" s="318">
        <f>AE24-AE25</f>
        <v>1.7921916352748006</v>
      </c>
      <c r="AF26" s="269" t="s">
        <v>19</v>
      </c>
      <c r="AG26" s="269"/>
      <c r="AH26" s="318">
        <f>AH24-AH25</f>
        <v>1.7921916352748006</v>
      </c>
      <c r="AI26" s="269" t="s">
        <v>19</v>
      </c>
      <c r="AJ26" s="269"/>
      <c r="AK26" s="318">
        <f>AK24-AK25</f>
        <v>1.7921916352748006</v>
      </c>
      <c r="AL26" s="269" t="s">
        <v>19</v>
      </c>
      <c r="AM26" s="269"/>
      <c r="AN26" s="318">
        <f>AN24-AN25</f>
        <v>1.7921916352748006</v>
      </c>
      <c r="AO26" s="269" t="s">
        <v>19</v>
      </c>
      <c r="AP26" s="269"/>
      <c r="AQ26" s="318">
        <f>AQ24-AQ25</f>
        <v>1.7921916352748006</v>
      </c>
      <c r="AR26" s="269" t="s">
        <v>19</v>
      </c>
      <c r="AS26" s="269"/>
      <c r="AT26" s="318">
        <f>AT24-AT25</f>
        <v>1.7921916352748006</v>
      </c>
      <c r="AU26" s="269" t="s">
        <v>19</v>
      </c>
      <c r="AV26" s="269"/>
      <c r="AW26" s="318">
        <f>AW24-AW25</f>
        <v>1.7921916352748006</v>
      </c>
      <c r="AX26" s="269" t="s">
        <v>19</v>
      </c>
      <c r="AY26" s="269"/>
      <c r="BA26" s="319">
        <f>BA24-BA25</f>
        <v>1.7921916352748006</v>
      </c>
      <c r="BB26" s="320" t="s">
        <v>19</v>
      </c>
      <c r="BD26" s="321">
        <f t="shared" si="1"/>
        <v>1.7921916352748006</v>
      </c>
      <c r="BE26" s="322" t="str">
        <f>AB26</f>
        <v>[°dH]</v>
      </c>
      <c r="BH26" s="261"/>
      <c r="BI26" s="309"/>
      <c r="BJ26" s="310" t="s">
        <v>18</v>
      </c>
      <c r="BK26" s="330">
        <f>BK24-BK25</f>
        <v>1.7921916352747997</v>
      </c>
      <c r="BL26" s="311" t="s">
        <v>19</v>
      </c>
      <c r="BM26" s="310"/>
      <c r="BN26" s="263"/>
      <c r="BO26" s="263"/>
      <c r="BP26" s="263"/>
      <c r="BQ26" s="263"/>
      <c r="BR26" s="263"/>
      <c r="BS26" s="326"/>
    </row>
    <row r="27" spans="1:71" x14ac:dyDescent="0.25">
      <c r="A27" s="259"/>
      <c r="B27" s="259"/>
      <c r="C27" s="259"/>
      <c r="D27" s="293"/>
      <c r="E27" s="295"/>
      <c r="F27" s="295"/>
      <c r="G27" s="295"/>
      <c r="H27" s="295"/>
      <c r="I27" s="296"/>
      <c r="J27" s="259"/>
      <c r="K27" s="259"/>
      <c r="L27" s="259"/>
      <c r="M27" s="259"/>
      <c r="N27" s="259"/>
      <c r="O27" s="267"/>
      <c r="P27" s="267"/>
      <c r="Q27" s="267"/>
      <c r="R27" s="267"/>
      <c r="S27" s="267"/>
      <c r="T27" s="267"/>
      <c r="U27" s="267"/>
      <c r="V27" s="267"/>
      <c r="W27" s="267"/>
      <c r="X27" s="267"/>
      <c r="Y27" s="267"/>
      <c r="Z27" s="267"/>
      <c r="AA27" s="267"/>
      <c r="AB27" s="267"/>
      <c r="AC27" s="267"/>
      <c r="AD27" s="267"/>
      <c r="AE27" s="269"/>
      <c r="AF27" s="269"/>
      <c r="AG27" s="269"/>
      <c r="AH27" s="269"/>
      <c r="AI27" s="269"/>
      <c r="AJ27" s="269"/>
      <c r="AK27" s="269"/>
      <c r="AL27" s="269"/>
      <c r="AM27" s="269"/>
      <c r="AN27" s="269"/>
      <c r="AO27" s="269"/>
      <c r="AP27" s="269"/>
      <c r="AQ27" s="269"/>
      <c r="AR27" s="269"/>
      <c r="AS27" s="269"/>
      <c r="AT27" s="269"/>
      <c r="AU27" s="269"/>
      <c r="AV27" s="269"/>
      <c r="AW27" s="269"/>
      <c r="AX27" s="269"/>
      <c r="AY27" s="269"/>
      <c r="BA27" s="320"/>
      <c r="BB27" s="320"/>
      <c r="BD27" s="321"/>
      <c r="BE27" s="322"/>
      <c r="BH27" s="261"/>
      <c r="BI27" s="309"/>
      <c r="BJ27" s="310"/>
      <c r="BK27" s="310"/>
      <c r="BL27" s="311"/>
      <c r="BM27" s="310"/>
      <c r="BN27" s="263"/>
      <c r="BO27" s="263"/>
      <c r="BP27" s="263"/>
      <c r="BQ27" s="263"/>
      <c r="BR27" s="263"/>
      <c r="BS27" s="326"/>
    </row>
    <row r="28" spans="1:71" x14ac:dyDescent="0.25">
      <c r="A28" s="259"/>
      <c r="B28" s="259"/>
      <c r="C28" s="259"/>
      <c r="D28" s="293"/>
      <c r="E28" s="306" t="s">
        <v>24</v>
      </c>
      <c r="F28" s="295"/>
      <c r="G28" s="316">
        <f>G25/G26</f>
        <v>2.4997326802683539</v>
      </c>
      <c r="H28" s="295" t="s">
        <v>25</v>
      </c>
      <c r="I28" s="296"/>
      <c r="J28" s="259" t="s">
        <v>26</v>
      </c>
      <c r="K28" s="259"/>
      <c r="L28" s="279">
        <f>L25/L26</f>
        <v>2.4997326802683539</v>
      </c>
      <c r="M28" s="259" t="s">
        <v>25</v>
      </c>
      <c r="N28" s="259"/>
      <c r="O28" s="324">
        <f>O25/O26</f>
        <v>2.4997326802683526</v>
      </c>
      <c r="P28" s="267" t="s">
        <v>25</v>
      </c>
      <c r="Q28" s="267"/>
      <c r="R28" s="324">
        <f>R25/R26</f>
        <v>2.4997326802683526</v>
      </c>
      <c r="S28" s="267" t="s">
        <v>25</v>
      </c>
      <c r="T28" s="267"/>
      <c r="U28" s="324">
        <f>U25/U26</f>
        <v>2.4997326802683526</v>
      </c>
      <c r="V28" s="267" t="s">
        <v>25</v>
      </c>
      <c r="W28" s="267"/>
      <c r="X28" s="324">
        <f>X25/X26</f>
        <v>2.4997326802683526</v>
      </c>
      <c r="Y28" s="267" t="s">
        <v>25</v>
      </c>
      <c r="Z28" s="267"/>
      <c r="AA28" s="324">
        <f>AA25/AA26</f>
        <v>2.4997326802683526</v>
      </c>
      <c r="AB28" s="267" t="s">
        <v>25</v>
      </c>
      <c r="AC28" s="267"/>
      <c r="AD28" s="275" t="s">
        <v>24</v>
      </c>
      <c r="AE28" s="318">
        <f>AE25/AE26</f>
        <v>2.4997326802683526</v>
      </c>
      <c r="AF28" s="269" t="s">
        <v>25</v>
      </c>
      <c r="AG28" s="269"/>
      <c r="AH28" s="318">
        <f>AH25/AH26</f>
        <v>2.4997326802683526</v>
      </c>
      <c r="AI28" s="269" t="s">
        <v>25</v>
      </c>
      <c r="AJ28" s="269"/>
      <c r="AK28" s="318">
        <f>AK25/AK26</f>
        <v>2.4997326802683526</v>
      </c>
      <c r="AL28" s="269" t="s">
        <v>25</v>
      </c>
      <c r="AM28" s="269"/>
      <c r="AN28" s="318">
        <f>AN25/AN26</f>
        <v>2.4997326802683526</v>
      </c>
      <c r="AO28" s="269" t="s">
        <v>25</v>
      </c>
      <c r="AP28" s="269"/>
      <c r="AQ28" s="318">
        <f>AQ25/AQ26</f>
        <v>2.4997326802683526</v>
      </c>
      <c r="AR28" s="269" t="s">
        <v>25</v>
      </c>
      <c r="AS28" s="269"/>
      <c r="AT28" s="318">
        <f>AT25/AT26</f>
        <v>2.4997326802683526</v>
      </c>
      <c r="AU28" s="269" t="s">
        <v>25</v>
      </c>
      <c r="AV28" s="269"/>
      <c r="AW28" s="318">
        <f>AW25/AW26</f>
        <v>2.4997326802683526</v>
      </c>
      <c r="AX28" s="269" t="s">
        <v>25</v>
      </c>
      <c r="AY28" s="269"/>
      <c r="BA28" s="319">
        <f>BA25/BA26</f>
        <v>2.4997326802683526</v>
      </c>
      <c r="BB28" s="320" t="s">
        <v>25</v>
      </c>
      <c r="BD28" s="321">
        <f t="shared" si="1"/>
        <v>2.4997326802683526</v>
      </c>
      <c r="BE28" s="322" t="str">
        <f>AB28</f>
        <v>[-]</v>
      </c>
      <c r="BH28" s="261"/>
      <c r="BI28" s="313"/>
      <c r="BJ28" s="314" t="s">
        <v>24</v>
      </c>
      <c r="BK28" s="331">
        <f>BK25/BK26</f>
        <v>2.4997326802683539</v>
      </c>
      <c r="BL28" s="311" t="s">
        <v>25</v>
      </c>
      <c r="BM28" s="310"/>
      <c r="BN28" s="263"/>
      <c r="BO28" s="263"/>
      <c r="BP28" s="263"/>
      <c r="BQ28" s="263"/>
      <c r="BR28" s="263"/>
      <c r="BS28" s="326"/>
    </row>
    <row r="29" spans="1:71" x14ac:dyDescent="0.25">
      <c r="A29" s="259"/>
      <c r="B29" s="259"/>
      <c r="C29" s="259"/>
      <c r="D29" s="293"/>
      <c r="E29" s="295"/>
      <c r="F29" s="295"/>
      <c r="G29" s="295"/>
      <c r="H29" s="295"/>
      <c r="I29" s="296"/>
      <c r="J29" s="259"/>
      <c r="K29" s="259"/>
      <c r="L29" s="259"/>
      <c r="M29" s="259"/>
      <c r="N29" s="259"/>
      <c r="O29" s="267"/>
      <c r="P29" s="267"/>
      <c r="Q29" s="267"/>
      <c r="R29" s="267"/>
      <c r="S29" s="267"/>
      <c r="T29" s="267"/>
      <c r="U29" s="267"/>
      <c r="V29" s="267"/>
      <c r="W29" s="267"/>
      <c r="X29" s="267"/>
      <c r="Y29" s="267"/>
      <c r="Z29" s="267"/>
      <c r="AA29" s="267"/>
      <c r="AB29" s="267"/>
      <c r="AC29" s="267"/>
      <c r="AD29" s="267"/>
      <c r="AE29" s="269"/>
      <c r="AF29" s="269"/>
      <c r="AG29" s="269"/>
      <c r="AH29" s="269"/>
      <c r="AI29" s="269"/>
      <c r="AJ29" s="269"/>
      <c r="AK29" s="269"/>
      <c r="AL29" s="269"/>
      <c r="AM29" s="269"/>
      <c r="AN29" s="269"/>
      <c r="AO29" s="269"/>
      <c r="AP29" s="269"/>
      <c r="AQ29" s="269"/>
      <c r="AR29" s="269"/>
      <c r="AS29" s="269"/>
      <c r="AT29" s="269"/>
      <c r="AU29" s="269"/>
      <c r="AV29" s="269"/>
      <c r="AW29" s="269"/>
      <c r="AX29" s="269"/>
      <c r="AY29" s="269"/>
      <c r="BA29" s="320"/>
      <c r="BB29" s="320"/>
      <c r="BD29" s="321"/>
      <c r="BE29" s="322"/>
      <c r="BH29" s="261"/>
      <c r="BI29" s="309"/>
      <c r="BJ29" s="310"/>
      <c r="BK29" s="310"/>
      <c r="BL29" s="311"/>
      <c r="BM29" s="310"/>
      <c r="BN29" s="263"/>
      <c r="BO29" s="263"/>
      <c r="BP29" s="263"/>
      <c r="BQ29" s="263"/>
      <c r="BR29" s="263"/>
      <c r="BS29" s="326"/>
    </row>
    <row r="30" spans="1:71" x14ac:dyDescent="0.25">
      <c r="A30" s="259"/>
      <c r="B30" s="259"/>
      <c r="C30" s="259"/>
      <c r="D30" s="293"/>
      <c r="E30" s="306" t="s">
        <v>166</v>
      </c>
      <c r="F30" s="295"/>
      <c r="G30" s="316">
        <f>G14/G15</f>
        <v>1.2941176470588236</v>
      </c>
      <c r="H30" s="295" t="s">
        <v>25</v>
      </c>
      <c r="I30" s="296"/>
      <c r="J30" s="259"/>
      <c r="K30" s="259"/>
      <c r="L30" s="279">
        <f>L14/L15</f>
        <v>1.2941176470588236</v>
      </c>
      <c r="M30" s="259" t="s">
        <v>25</v>
      </c>
      <c r="N30" s="259"/>
      <c r="O30" s="324">
        <f>O14/O15</f>
        <v>1.2941176470588236</v>
      </c>
      <c r="P30" s="267" t="s">
        <v>25</v>
      </c>
      <c r="Q30" s="267"/>
      <c r="R30" s="324">
        <f>R14/R15</f>
        <v>1.2941176470588236</v>
      </c>
      <c r="S30" s="267" t="s">
        <v>25</v>
      </c>
      <c r="T30" s="267"/>
      <c r="U30" s="324">
        <f>U14/U15</f>
        <v>1.2941176470588236</v>
      </c>
      <c r="V30" s="267" t="s">
        <v>25</v>
      </c>
      <c r="W30" s="267"/>
      <c r="X30" s="324">
        <f>X14/X15</f>
        <v>1.2941176470588236</v>
      </c>
      <c r="Y30" s="267" t="s">
        <v>25</v>
      </c>
      <c r="Z30" s="267"/>
      <c r="AA30" s="324">
        <f>AA14/AA15</f>
        <v>1.2941176470588236</v>
      </c>
      <c r="AB30" s="267" t="s">
        <v>25</v>
      </c>
      <c r="AC30" s="267"/>
      <c r="AD30" s="275" t="s">
        <v>166</v>
      </c>
      <c r="AE30" s="318">
        <f>AE14/AE15</f>
        <v>1.2941176470588236</v>
      </c>
      <c r="AF30" s="269" t="s">
        <v>25</v>
      </c>
      <c r="AG30" s="269"/>
      <c r="AH30" s="318">
        <f>AH14/AH15</f>
        <v>1.2941176470588236</v>
      </c>
      <c r="AI30" s="269" t="s">
        <v>25</v>
      </c>
      <c r="AJ30" s="269"/>
      <c r="AK30" s="318">
        <f>AK14/AK15</f>
        <v>1.2941176470588236</v>
      </c>
      <c r="AL30" s="269" t="s">
        <v>25</v>
      </c>
      <c r="AM30" s="269"/>
      <c r="AN30" s="318">
        <f>AN14/AN15</f>
        <v>1.2941176470588236</v>
      </c>
      <c r="AO30" s="269" t="s">
        <v>25</v>
      </c>
      <c r="AP30" s="269"/>
      <c r="AQ30" s="318">
        <f>AQ14/AQ15</f>
        <v>1.2941176470588236</v>
      </c>
      <c r="AR30" s="269" t="s">
        <v>25</v>
      </c>
      <c r="AS30" s="269"/>
      <c r="AT30" s="318">
        <f>AT14/AT15</f>
        <v>1.2941176470588236</v>
      </c>
      <c r="AU30" s="269" t="s">
        <v>25</v>
      </c>
      <c r="AV30" s="269"/>
      <c r="AW30" s="318">
        <f>AW14/AW15</f>
        <v>1.2941176470588236</v>
      </c>
      <c r="AX30" s="269" t="s">
        <v>25</v>
      </c>
      <c r="AY30" s="269"/>
      <c r="BA30" s="319">
        <f>BA14/BA15</f>
        <v>1.2941176470588236</v>
      </c>
      <c r="BB30" s="320" t="s">
        <v>25</v>
      </c>
      <c r="BD30" s="321">
        <f t="shared" si="1"/>
        <v>1.2941176470588236</v>
      </c>
      <c r="BE30" s="322" t="str">
        <f>AB30</f>
        <v>[-]</v>
      </c>
      <c r="BH30" s="261"/>
      <c r="BI30" s="332"/>
      <c r="BJ30" s="333" t="s">
        <v>166</v>
      </c>
      <c r="BK30" s="323">
        <f>BK14/BK15</f>
        <v>1.2941176470588236</v>
      </c>
      <c r="BL30" s="311" t="s">
        <v>25</v>
      </c>
      <c r="BM30" s="310"/>
      <c r="BN30" s="263"/>
      <c r="BO30" s="326"/>
      <c r="BP30" s="263"/>
      <c r="BQ30" s="263"/>
      <c r="BR30" s="263"/>
      <c r="BS30" s="326"/>
    </row>
    <row r="31" spans="1:71" x14ac:dyDescent="0.25">
      <c r="A31" s="259"/>
      <c r="B31" s="259"/>
      <c r="C31" s="259"/>
      <c r="D31" s="293"/>
      <c r="E31" s="295"/>
      <c r="F31" s="295"/>
      <c r="G31" s="295"/>
      <c r="H31" s="295"/>
      <c r="I31" s="296"/>
      <c r="J31" s="259"/>
      <c r="K31" s="259"/>
      <c r="L31" s="259"/>
      <c r="M31" s="259"/>
      <c r="N31" s="259"/>
      <c r="O31" s="267"/>
      <c r="P31" s="267"/>
      <c r="Q31" s="267"/>
      <c r="R31" s="267"/>
      <c r="S31" s="267"/>
      <c r="T31" s="267"/>
      <c r="U31" s="267"/>
      <c r="V31" s="267"/>
      <c r="W31" s="267"/>
      <c r="X31" s="267"/>
      <c r="Y31" s="267"/>
      <c r="Z31" s="267"/>
      <c r="AA31" s="267"/>
      <c r="AB31" s="267"/>
      <c r="AC31" s="267"/>
      <c r="AD31" s="267"/>
      <c r="AE31" s="269"/>
      <c r="AF31" s="269"/>
      <c r="AG31" s="269"/>
      <c r="AH31" s="269"/>
      <c r="AI31" s="269"/>
      <c r="AJ31" s="269"/>
      <c r="AK31" s="269"/>
      <c r="AL31" s="269"/>
      <c r="AM31" s="269"/>
      <c r="AN31" s="269"/>
      <c r="AO31" s="269"/>
      <c r="AP31" s="269"/>
      <c r="AQ31" s="269"/>
      <c r="AR31" s="269"/>
      <c r="AS31" s="269"/>
      <c r="AT31" s="269"/>
      <c r="AU31" s="269"/>
      <c r="AV31" s="269"/>
      <c r="AW31" s="269"/>
      <c r="AX31" s="269"/>
      <c r="AY31" s="269"/>
      <c r="BA31" s="320"/>
      <c r="BB31" s="320"/>
      <c r="BD31" s="321"/>
      <c r="BE31" s="322"/>
      <c r="BH31" s="261"/>
      <c r="BI31" s="309"/>
      <c r="BJ31" s="310"/>
      <c r="BK31" s="310"/>
      <c r="BL31" s="311"/>
      <c r="BM31" s="310"/>
      <c r="BN31" s="263"/>
      <c r="BO31" s="263"/>
      <c r="BP31" s="263"/>
      <c r="BQ31" s="263"/>
      <c r="BR31" s="263"/>
      <c r="BS31" s="326"/>
    </row>
    <row r="32" spans="1:71" x14ac:dyDescent="0.25">
      <c r="A32" s="259"/>
      <c r="B32" s="259"/>
      <c r="C32" s="259"/>
      <c r="D32" s="293"/>
      <c r="E32" s="306" t="s">
        <v>20</v>
      </c>
      <c r="F32" s="295"/>
      <c r="G32" s="334">
        <f>G12*2.8-G20/25-G21/30</f>
        <v>3.0506666666666664</v>
      </c>
      <c r="H32" s="306" t="s">
        <v>19</v>
      </c>
      <c r="I32" s="335"/>
      <c r="J32" s="336" t="s">
        <v>22</v>
      </c>
      <c r="K32" s="336"/>
      <c r="L32" s="337">
        <f>G32</f>
        <v>3.0506666666666664</v>
      </c>
      <c r="M32" s="336" t="s">
        <v>19</v>
      </c>
      <c r="N32" s="336"/>
      <c r="O32" s="338">
        <f>(O12*2.8-O20/25-O21/30)/$L$5</f>
        <v>3.0506666666666669</v>
      </c>
      <c r="P32" s="275" t="s">
        <v>19</v>
      </c>
      <c r="Q32" s="275"/>
      <c r="R32" s="338">
        <f>(R12*2.8-R20/25-R21/30)/$L$5</f>
        <v>3.0506666666666669</v>
      </c>
      <c r="S32" s="275" t="s">
        <v>19</v>
      </c>
      <c r="T32" s="275"/>
      <c r="U32" s="338">
        <f>(U12*2.8-U20/25-U21/30)/$L$5</f>
        <v>3.0506666666666669</v>
      </c>
      <c r="V32" s="275" t="s">
        <v>19</v>
      </c>
      <c r="W32" s="275"/>
      <c r="X32" s="338">
        <f>(X12*2.8-X20/25-X21/30)/$L$5</f>
        <v>3.0506666666666669</v>
      </c>
      <c r="Y32" s="275" t="s">
        <v>19</v>
      </c>
      <c r="Z32" s="275"/>
      <c r="AA32" s="338">
        <f>(AA12*2.8-AA20/25-AA21/30)/$L$5</f>
        <v>3.0506666666666669</v>
      </c>
      <c r="AB32" s="275" t="s">
        <v>19</v>
      </c>
      <c r="AC32" s="267"/>
      <c r="AD32" s="275" t="s">
        <v>20</v>
      </c>
      <c r="AE32" s="339">
        <f>(AE12*2.8-AE20/25-AE21/30)/$L$5</f>
        <v>3.0506666666666669</v>
      </c>
      <c r="AF32" s="276" t="s">
        <v>19</v>
      </c>
      <c r="AG32" s="269"/>
      <c r="AH32" s="339">
        <f>(AH12*2.8-AH20/25-AH21/30)/$L$5</f>
        <v>3.0506666666666669</v>
      </c>
      <c r="AI32" s="276" t="s">
        <v>19</v>
      </c>
      <c r="AJ32" s="276"/>
      <c r="AK32" s="339">
        <f>(AK12*2.8-AK20/25-AK21/30)/$L$5</f>
        <v>3.0506666666666669</v>
      </c>
      <c r="AL32" s="276" t="s">
        <v>19</v>
      </c>
      <c r="AM32" s="269"/>
      <c r="AN32" s="339">
        <f>(AN12*2.8-AN20/25-AN21/30)/$L$5</f>
        <v>3.0506666666666669</v>
      </c>
      <c r="AO32" s="276" t="s">
        <v>19</v>
      </c>
      <c r="AP32" s="269"/>
      <c r="AQ32" s="339">
        <f>(AQ12*2.8-AQ20/25-AQ21/30)/$L$5</f>
        <v>3.0506666666666669</v>
      </c>
      <c r="AR32" s="276" t="s">
        <v>19</v>
      </c>
      <c r="AS32" s="269"/>
      <c r="AT32" s="339">
        <f>(AT12*2.8-AT20/25-AT21/30)/$L$5</f>
        <v>3.0506666666666669</v>
      </c>
      <c r="AU32" s="276" t="s">
        <v>19</v>
      </c>
      <c r="AV32" s="269"/>
      <c r="AW32" s="318">
        <f>(AW12*2.8-AW20/25-AW21/30)/$L$5</f>
        <v>3.0506666666666669</v>
      </c>
      <c r="AX32" s="276" t="s">
        <v>19</v>
      </c>
      <c r="AY32" s="269"/>
      <c r="BA32" s="319">
        <f>(BA12*2.8-BA20/25-BA21/30)/($L$5+BA5)</f>
        <v>3.0506666666666669</v>
      </c>
      <c r="BB32" s="340" t="s">
        <v>19</v>
      </c>
      <c r="BD32" s="321">
        <f t="shared" si="1"/>
        <v>3.0506666666666669</v>
      </c>
      <c r="BE32" s="322" t="str">
        <f>AB32</f>
        <v>[°dH]</v>
      </c>
      <c r="BH32" s="261"/>
      <c r="BI32" s="313"/>
      <c r="BJ32" s="314" t="s">
        <v>20</v>
      </c>
      <c r="BK32" s="341">
        <f>BK12*2.8-BK20/25-BK21/30</f>
        <v>3.0506666666666664</v>
      </c>
      <c r="BL32" s="342" t="s">
        <v>19</v>
      </c>
      <c r="BM32" s="314"/>
      <c r="BN32" s="263"/>
      <c r="BO32" s="263"/>
      <c r="BP32" s="263"/>
      <c r="BQ32" s="263"/>
      <c r="BR32" s="263"/>
      <c r="BS32" s="326"/>
    </row>
    <row r="33" spans="1:71" x14ac:dyDescent="0.25">
      <c r="A33" s="259"/>
      <c r="B33" s="259"/>
      <c r="C33" s="259"/>
      <c r="D33" s="293"/>
      <c r="E33" s="295"/>
      <c r="F33" s="295"/>
      <c r="G33" s="343">
        <f>G25-G24/4</f>
        <v>2.9119520911812997</v>
      </c>
      <c r="H33" s="344" t="s">
        <v>19</v>
      </c>
      <c r="I33" s="345"/>
      <c r="J33" s="286" t="s">
        <v>21</v>
      </c>
      <c r="K33" s="259"/>
      <c r="L33" s="346">
        <f>L25-L24/4</f>
        <v>2.9119520911812993</v>
      </c>
      <c r="M33" s="286" t="s">
        <v>19</v>
      </c>
      <c r="N33" s="286"/>
      <c r="O33" s="290">
        <f>O25-O24/4</f>
        <v>2.9119520911812993</v>
      </c>
      <c r="P33" s="290" t="s">
        <v>19</v>
      </c>
      <c r="Q33" s="288" t="s">
        <v>21</v>
      </c>
      <c r="R33" s="290">
        <f>R25-R24/4</f>
        <v>2.9119520911812993</v>
      </c>
      <c r="S33" s="290" t="s">
        <v>19</v>
      </c>
      <c r="T33" s="288"/>
      <c r="U33" s="290">
        <f>U25-U24/4</f>
        <v>2.9119520911812993</v>
      </c>
      <c r="V33" s="288" t="s">
        <v>21</v>
      </c>
      <c r="W33" s="288"/>
      <c r="X33" s="290">
        <f>X25-X24/4</f>
        <v>2.9119520911812993</v>
      </c>
      <c r="Y33" s="290" t="s">
        <v>19</v>
      </c>
      <c r="Z33" s="288"/>
      <c r="AA33" s="290">
        <f>AA25-AA24/4</f>
        <v>2.9119520911812993</v>
      </c>
      <c r="AB33" s="288" t="s">
        <v>21</v>
      </c>
      <c r="AC33" s="267"/>
      <c r="AD33" s="267"/>
      <c r="AE33" s="347">
        <f>AE25-AE24/4</f>
        <v>2.9119520911812993</v>
      </c>
      <c r="AF33" s="291" t="s">
        <v>19</v>
      </c>
      <c r="AG33" s="291" t="s">
        <v>21</v>
      </c>
      <c r="AH33" s="347">
        <f>AH25-AH24/4</f>
        <v>2.9119520911812993</v>
      </c>
      <c r="AI33" s="291" t="s">
        <v>19</v>
      </c>
      <c r="AJ33" s="291"/>
      <c r="AK33" s="347">
        <f>AK25-AK24/4</f>
        <v>2.9119520911812993</v>
      </c>
      <c r="AL33" s="291" t="s">
        <v>19</v>
      </c>
      <c r="AM33" s="291" t="s">
        <v>21</v>
      </c>
      <c r="AN33" s="347">
        <f>AN25-AN24/4</f>
        <v>2.9119520911812993</v>
      </c>
      <c r="AO33" s="291" t="s">
        <v>19</v>
      </c>
      <c r="AP33" s="291" t="s">
        <v>21</v>
      </c>
      <c r="AQ33" s="347">
        <f>AQ25-AQ24/4</f>
        <v>2.9119520911812993</v>
      </c>
      <c r="AR33" s="291" t="s">
        <v>19</v>
      </c>
      <c r="AS33" s="291" t="s">
        <v>21</v>
      </c>
      <c r="AT33" s="347">
        <f>AT25-AT24/4</f>
        <v>2.9119520911812993</v>
      </c>
      <c r="AU33" s="291" t="s">
        <v>19</v>
      </c>
      <c r="AV33" s="291" t="s">
        <v>21</v>
      </c>
      <c r="AW33" s="347">
        <f>AW25-AW24/4</f>
        <v>2.9119520911812993</v>
      </c>
      <c r="AX33" s="291" t="s">
        <v>19</v>
      </c>
      <c r="AY33" s="269"/>
      <c r="BA33" s="348">
        <f>BA25-BA24/4</f>
        <v>2.9119520911812993</v>
      </c>
      <c r="BB33" s="349" t="s">
        <v>19</v>
      </c>
      <c r="BD33" s="321">
        <f t="shared" si="1"/>
        <v>2.9119520911812993</v>
      </c>
      <c r="BE33" s="350"/>
      <c r="BH33" s="261"/>
      <c r="BI33" s="309"/>
      <c r="BJ33" s="310"/>
      <c r="BK33" s="310"/>
      <c r="BL33" s="351"/>
      <c r="BM33" s="261"/>
      <c r="BN33" s="263"/>
      <c r="BO33" s="263"/>
      <c r="BP33" s="263"/>
      <c r="BQ33" s="263"/>
      <c r="BR33" s="263"/>
      <c r="BS33" s="326"/>
    </row>
    <row r="34" spans="1:71" x14ac:dyDescent="0.25">
      <c r="A34" s="259"/>
      <c r="B34" s="259"/>
      <c r="C34" s="286"/>
      <c r="D34" s="352"/>
      <c r="E34" s="344"/>
      <c r="F34" s="344"/>
      <c r="G34" s="353">
        <f>G32*0.3566</f>
        <v>1.0878677333333331</v>
      </c>
      <c r="H34" s="344" t="s">
        <v>121</v>
      </c>
      <c r="I34" s="345"/>
      <c r="J34" s="286"/>
      <c r="K34" s="286"/>
      <c r="L34" s="354">
        <f>G34*L5</f>
        <v>30.460296533333327</v>
      </c>
      <c r="M34" s="286" t="s">
        <v>122</v>
      </c>
      <c r="N34" s="286"/>
      <c r="O34" s="290">
        <f>O32*0.3566</f>
        <v>1.0878677333333333</v>
      </c>
      <c r="P34" s="288" t="s">
        <v>121</v>
      </c>
      <c r="Q34" s="288"/>
      <c r="R34" s="290">
        <f>R32*0.3566</f>
        <v>1.0878677333333333</v>
      </c>
      <c r="S34" s="288" t="s">
        <v>121</v>
      </c>
      <c r="T34" s="288"/>
      <c r="U34" s="290">
        <f>U32*0.3566</f>
        <v>1.0878677333333333</v>
      </c>
      <c r="V34" s="288" t="s">
        <v>121</v>
      </c>
      <c r="W34" s="288"/>
      <c r="X34" s="290">
        <f>X32*0.3566</f>
        <v>1.0878677333333333</v>
      </c>
      <c r="Y34" s="288" t="s">
        <v>121</v>
      </c>
      <c r="Z34" s="288"/>
      <c r="AA34" s="290">
        <f>AA32*0.3566</f>
        <v>1.0878677333333333</v>
      </c>
      <c r="AB34" s="288" t="s">
        <v>121</v>
      </c>
      <c r="AC34" s="288"/>
      <c r="AD34" s="288"/>
      <c r="AE34" s="355">
        <f>AE32*0.3566</f>
        <v>1.0878677333333333</v>
      </c>
      <c r="AF34" s="291" t="s">
        <v>121</v>
      </c>
      <c r="AG34" s="291"/>
      <c r="AH34" s="355">
        <f>AH32*0.3566</f>
        <v>1.0878677333333333</v>
      </c>
      <c r="AI34" s="291" t="s">
        <v>121</v>
      </c>
      <c r="AJ34" s="291"/>
      <c r="AK34" s="355">
        <f>AK32*0.3566</f>
        <v>1.0878677333333333</v>
      </c>
      <c r="AL34" s="291" t="s">
        <v>121</v>
      </c>
      <c r="AM34" s="291"/>
      <c r="AN34" s="355">
        <f>AN32*0.3566</f>
        <v>1.0878677333333333</v>
      </c>
      <c r="AO34" s="291" t="s">
        <v>121</v>
      </c>
      <c r="AP34" s="291"/>
      <c r="AQ34" s="355">
        <f>AQ32*0.3566</f>
        <v>1.0878677333333333</v>
      </c>
      <c r="AR34" s="291" t="s">
        <v>121</v>
      </c>
      <c r="AS34" s="291"/>
      <c r="AT34" s="355">
        <f>AT32*0.3566</f>
        <v>1.0878677333333333</v>
      </c>
      <c r="AU34" s="291" t="s">
        <v>121</v>
      </c>
      <c r="AV34" s="291"/>
      <c r="AW34" s="355">
        <f>AW32*0.3566</f>
        <v>1.0878677333333333</v>
      </c>
      <c r="AX34" s="291" t="s">
        <v>121</v>
      </c>
      <c r="AY34" s="291"/>
      <c r="AZ34" s="356"/>
      <c r="BA34" s="357">
        <f>BA32*0.3566</f>
        <v>1.0878677333333333</v>
      </c>
      <c r="BB34" s="349" t="s">
        <v>121</v>
      </c>
      <c r="BC34" s="356"/>
      <c r="BD34" s="322">
        <f t="shared" si="1"/>
        <v>1.0878677333333333</v>
      </c>
      <c r="BE34" s="322" t="str">
        <f>AB34</f>
        <v>[mmol/l HCO3-]</v>
      </c>
      <c r="BF34" s="356"/>
      <c r="BG34" s="356"/>
      <c r="BH34" s="261"/>
      <c r="BI34" s="358"/>
      <c r="BJ34" s="261"/>
      <c r="BK34" s="359">
        <f>BK32*0.3566</f>
        <v>1.0878677333333331</v>
      </c>
      <c r="BL34" s="351" t="s">
        <v>118</v>
      </c>
      <c r="BM34" s="261"/>
      <c r="BN34" s="360"/>
      <c r="BO34" s="360"/>
      <c r="BP34" s="360"/>
      <c r="BQ34" s="360"/>
      <c r="BR34" s="360"/>
      <c r="BS34" s="361"/>
    </row>
    <row r="35" spans="1:71" ht="15.75" thickBot="1" x14ac:dyDescent="0.3">
      <c r="A35" s="259"/>
      <c r="B35" s="259"/>
      <c r="C35" s="286"/>
      <c r="D35" s="362"/>
      <c r="E35" s="363"/>
      <c r="F35" s="363"/>
      <c r="G35" s="364"/>
      <c r="H35" s="363"/>
      <c r="I35" s="365"/>
      <c r="J35" s="286"/>
      <c r="K35" s="286"/>
      <c r="L35" s="354"/>
      <c r="M35" s="286"/>
      <c r="N35" s="286"/>
      <c r="O35" s="290"/>
      <c r="P35" s="288"/>
      <c r="Q35" s="288"/>
      <c r="R35" s="290"/>
      <c r="S35" s="288"/>
      <c r="T35" s="288"/>
      <c r="U35" s="288"/>
      <c r="V35" s="288"/>
      <c r="W35" s="288"/>
      <c r="X35" s="290"/>
      <c r="Y35" s="288"/>
      <c r="Z35" s="288"/>
      <c r="AA35" s="290"/>
      <c r="AB35" s="288"/>
      <c r="AC35" s="288"/>
      <c r="AD35" s="288"/>
      <c r="AE35" s="355"/>
      <c r="AF35" s="291"/>
      <c r="AG35" s="291"/>
      <c r="AH35" s="355"/>
      <c r="AI35" s="291"/>
      <c r="AJ35" s="291"/>
      <c r="AK35" s="291"/>
      <c r="AL35" s="291"/>
      <c r="AM35" s="291"/>
      <c r="AN35" s="355"/>
      <c r="AO35" s="291"/>
      <c r="AP35" s="291"/>
      <c r="AQ35" s="355"/>
      <c r="AR35" s="291"/>
      <c r="AS35" s="291"/>
      <c r="AT35" s="355"/>
      <c r="AU35" s="291"/>
      <c r="AV35" s="291"/>
      <c r="AW35" s="355"/>
      <c r="AX35" s="291"/>
      <c r="AY35" s="291"/>
      <c r="AZ35" s="356"/>
      <c r="BA35" s="356"/>
      <c r="BB35" s="356"/>
      <c r="BC35" s="356"/>
      <c r="BD35" s="322"/>
      <c r="BE35" s="322"/>
      <c r="BF35" s="356"/>
      <c r="BG35" s="356"/>
      <c r="BH35" s="261"/>
      <c r="BI35" s="366"/>
      <c r="BJ35" s="367"/>
      <c r="BK35" s="368"/>
      <c r="BL35" s="369"/>
      <c r="BM35" s="261"/>
      <c r="BN35" s="360"/>
      <c r="BO35" s="360"/>
      <c r="BP35" s="360"/>
      <c r="BQ35" s="360"/>
      <c r="BR35" s="360"/>
      <c r="BS35" s="361"/>
    </row>
    <row r="36" spans="1:71" ht="15.75" thickTop="1" x14ac:dyDescent="0.25">
      <c r="A36" s="259"/>
      <c r="B36" s="259"/>
      <c r="C36" s="286"/>
      <c r="D36" s="259"/>
      <c r="E36" s="259"/>
      <c r="F36" s="259"/>
      <c r="G36" s="259"/>
      <c r="H36" s="259"/>
      <c r="I36" s="259"/>
      <c r="J36" s="259"/>
      <c r="K36" s="259"/>
      <c r="L36" s="259"/>
      <c r="M36" s="259"/>
      <c r="N36" s="259"/>
      <c r="O36" s="290"/>
      <c r="P36" s="288"/>
      <c r="Q36" s="288"/>
      <c r="R36" s="290"/>
      <c r="S36" s="288"/>
      <c r="T36" s="288"/>
      <c r="U36" s="288"/>
      <c r="V36" s="288"/>
      <c r="W36" s="288"/>
      <c r="X36" s="290"/>
      <c r="Y36" s="288"/>
      <c r="Z36" s="288"/>
      <c r="AA36" s="290"/>
      <c r="AB36" s="288"/>
      <c r="AC36" s="288"/>
      <c r="AD36" s="288"/>
      <c r="AE36" s="355"/>
      <c r="AF36" s="291"/>
      <c r="AG36" s="291"/>
      <c r="AH36" s="355"/>
      <c r="AI36" s="291"/>
      <c r="AJ36" s="291"/>
      <c r="AK36" s="291"/>
      <c r="AL36" s="291"/>
      <c r="AM36" s="291"/>
      <c r="AN36" s="355"/>
      <c r="AO36" s="291"/>
      <c r="AP36" s="291"/>
      <c r="AQ36" s="355"/>
      <c r="AR36" s="291"/>
      <c r="AS36" s="291"/>
      <c r="AT36" s="355"/>
      <c r="AU36" s="291"/>
      <c r="AV36" s="291"/>
      <c r="AW36" s="355"/>
      <c r="AX36" s="291"/>
      <c r="AY36" s="291"/>
      <c r="AZ36" s="356"/>
      <c r="BA36" s="356"/>
      <c r="BB36" s="356"/>
      <c r="BC36" s="356"/>
      <c r="BD36" s="322"/>
      <c r="BE36" s="322"/>
      <c r="BF36" s="356"/>
      <c r="BG36" s="356"/>
      <c r="BH36" s="261"/>
      <c r="BI36" s="261"/>
      <c r="BJ36" s="261"/>
      <c r="BK36" s="359"/>
      <c r="BL36" s="261"/>
      <c r="BM36" s="261"/>
      <c r="BN36" s="360"/>
      <c r="BO36" s="360"/>
      <c r="BP36" s="360"/>
      <c r="BQ36" s="360"/>
      <c r="BR36" s="360"/>
      <c r="BS36" s="361"/>
    </row>
    <row r="37" spans="1:71" ht="21.75" thickBot="1" x14ac:dyDescent="0.4">
      <c r="A37" s="370"/>
      <c r="B37" s="370"/>
      <c r="C37" s="370"/>
      <c r="D37" s="370"/>
      <c r="E37" s="371"/>
      <c r="F37" s="286"/>
      <c r="G37" s="354"/>
      <c r="H37" s="286"/>
      <c r="I37" s="286"/>
      <c r="J37" s="286"/>
      <c r="K37" s="286"/>
      <c r="L37" s="354"/>
      <c r="M37" s="286"/>
      <c r="N37" s="286"/>
      <c r="O37" s="290"/>
      <c r="P37" s="288"/>
      <c r="Q37" s="288"/>
      <c r="R37" s="290"/>
      <c r="S37" s="288"/>
      <c r="T37" s="288"/>
      <c r="U37" s="288"/>
      <c r="V37" s="288"/>
      <c r="W37" s="288"/>
      <c r="X37" s="290"/>
      <c r="Y37" s="288"/>
      <c r="Z37" s="288"/>
      <c r="AA37" s="290"/>
      <c r="AB37" s="288"/>
      <c r="AC37" s="288"/>
      <c r="AD37" s="288"/>
      <c r="AE37" s="355"/>
      <c r="AF37" s="291"/>
      <c r="AG37" s="291"/>
      <c r="AH37" s="355"/>
      <c r="AI37" s="291"/>
      <c r="AJ37" s="291"/>
      <c r="AK37" s="291"/>
      <c r="AL37" s="291"/>
      <c r="AM37" s="291"/>
      <c r="AN37" s="355"/>
      <c r="AO37" s="291"/>
      <c r="AP37" s="291"/>
      <c r="AQ37" s="355"/>
      <c r="AR37" s="291"/>
      <c r="AS37" s="291"/>
      <c r="AT37" s="355"/>
      <c r="AU37" s="291"/>
      <c r="AV37" s="291"/>
      <c r="AW37" s="355"/>
      <c r="AX37" s="291"/>
      <c r="AY37" s="291"/>
      <c r="AZ37" s="356"/>
      <c r="BA37" s="356"/>
      <c r="BB37" s="356"/>
      <c r="BC37" s="356"/>
      <c r="BD37" s="322"/>
      <c r="BE37" s="322"/>
      <c r="BF37" s="356"/>
      <c r="BG37" s="356"/>
      <c r="BH37" s="261"/>
      <c r="BI37" s="261"/>
      <c r="BJ37" s="261"/>
      <c r="BK37" s="359"/>
      <c r="BL37" s="261"/>
      <c r="BM37" s="261"/>
      <c r="BN37" s="360"/>
      <c r="BO37" s="360"/>
      <c r="BP37" s="360"/>
      <c r="BQ37" s="360"/>
      <c r="BR37" s="360"/>
      <c r="BS37" s="360"/>
    </row>
    <row r="38" spans="1:71" x14ac:dyDescent="0.25">
      <c r="B38" s="372"/>
      <c r="C38" s="372"/>
      <c r="D38" s="372"/>
      <c r="E38" s="372"/>
      <c r="F38" s="372"/>
      <c r="G38" s="373"/>
      <c r="H38" s="372"/>
      <c r="I38" s="372"/>
      <c r="J38" s="372"/>
      <c r="K38" s="372"/>
      <c r="L38" s="373"/>
      <c r="M38" s="372"/>
      <c r="N38" s="372"/>
      <c r="O38" s="373"/>
      <c r="P38" s="372"/>
      <c r="Q38" s="372"/>
      <c r="R38" s="373"/>
      <c r="S38" s="372"/>
      <c r="T38" s="372"/>
      <c r="U38" s="372"/>
      <c r="V38" s="372"/>
      <c r="W38" s="372"/>
      <c r="X38" s="373"/>
      <c r="Y38" s="372"/>
      <c r="Z38" s="372"/>
      <c r="AA38" s="373"/>
      <c r="AB38" s="372"/>
      <c r="AC38" s="372"/>
      <c r="AD38" s="372"/>
      <c r="AE38" s="373"/>
      <c r="AF38" s="372"/>
      <c r="AG38" s="372"/>
      <c r="AH38" s="373"/>
      <c r="AI38" s="372"/>
      <c r="AJ38" s="372"/>
      <c r="AK38" s="373"/>
      <c r="AL38" s="372"/>
      <c r="AM38" s="372"/>
      <c r="AN38" s="373"/>
      <c r="AO38" s="372"/>
      <c r="AP38" s="372"/>
      <c r="AQ38" s="373"/>
      <c r="AR38" s="372"/>
      <c r="AS38" s="372"/>
      <c r="AT38" s="373"/>
      <c r="AU38" s="372"/>
      <c r="AV38" s="372"/>
      <c r="AW38" s="372"/>
      <c r="AX38" s="372"/>
      <c r="AY38" s="372"/>
      <c r="AZ38" s="372"/>
      <c r="BA38" s="373"/>
      <c r="BB38" s="373"/>
      <c r="BC38" s="372"/>
      <c r="BD38" s="372"/>
      <c r="BE38" s="372"/>
      <c r="BF38" s="372"/>
      <c r="BG38" s="372"/>
      <c r="BH38" s="374"/>
      <c r="BI38" s="375" t="s">
        <v>241</v>
      </c>
      <c r="BJ38" s="372"/>
      <c r="BK38" s="375"/>
      <c r="BL38" s="372"/>
      <c r="BM38" s="372"/>
      <c r="BN38" s="372"/>
      <c r="BO38" s="372"/>
      <c r="BP38" s="372"/>
      <c r="BQ38" s="372"/>
      <c r="BR38" s="372"/>
      <c r="BS38" s="372"/>
    </row>
    <row r="39" spans="1:71" ht="21" x14ac:dyDescent="0.35">
      <c r="B39" s="376" t="s">
        <v>236</v>
      </c>
      <c r="D39" s="377"/>
      <c r="F39" s="377"/>
      <c r="G39" s="312"/>
      <c r="H39" s="378" t="s">
        <v>238</v>
      </c>
      <c r="I39" s="378"/>
      <c r="J39" s="377"/>
      <c r="K39" s="377"/>
      <c r="L39" s="379"/>
      <c r="M39" s="377"/>
      <c r="N39" s="377"/>
      <c r="O39" s="379"/>
      <c r="P39" s="377"/>
      <c r="Q39" s="377"/>
      <c r="R39" s="379"/>
      <c r="S39" s="377"/>
      <c r="T39" s="377"/>
      <c r="W39" s="383"/>
      <c r="X39" s="378" t="s">
        <v>239</v>
      </c>
      <c r="Y39" s="377"/>
      <c r="Z39" s="377"/>
      <c r="AA39" s="379"/>
      <c r="AB39" s="377"/>
      <c r="AC39" s="377"/>
      <c r="AD39" s="377"/>
      <c r="AE39" s="379"/>
      <c r="AF39" s="264" t="s">
        <v>219</v>
      </c>
      <c r="AI39" s="264" t="s">
        <v>219</v>
      </c>
      <c r="AL39" s="264" t="s">
        <v>222</v>
      </c>
      <c r="AO39" s="264" t="s">
        <v>222</v>
      </c>
      <c r="AR39" s="264" t="s">
        <v>221</v>
      </c>
      <c r="AU39" s="264" t="s">
        <v>220</v>
      </c>
      <c r="AW39" s="377"/>
      <c r="AX39" s="377"/>
      <c r="AY39" s="377"/>
      <c r="AZ39" s="377"/>
      <c r="BA39" s="379"/>
      <c r="BB39" s="379"/>
      <c r="BC39" s="377"/>
      <c r="BD39" s="377"/>
      <c r="BE39" s="377"/>
      <c r="BF39" s="377"/>
      <c r="BG39" s="377"/>
      <c r="BH39" s="379"/>
      <c r="BI39" s="377"/>
      <c r="BJ39" s="377"/>
      <c r="BK39" s="380"/>
      <c r="BL39" s="377"/>
      <c r="BM39" s="377"/>
      <c r="BN39" s="377"/>
      <c r="BO39" s="377"/>
      <c r="BP39" s="377"/>
      <c r="BQ39" s="377"/>
      <c r="BR39" s="377"/>
      <c r="BS39" s="377"/>
    </row>
    <row r="40" spans="1:71" x14ac:dyDescent="0.25">
      <c r="C40" s="356"/>
      <c r="D40" s="356"/>
      <c r="E40" s="356"/>
      <c r="F40" s="356"/>
      <c r="G40" s="322"/>
      <c r="H40" s="356"/>
      <c r="I40" s="356"/>
      <c r="J40" s="356"/>
      <c r="K40" s="356"/>
      <c r="L40" s="322"/>
      <c r="M40" s="356"/>
      <c r="N40" s="356"/>
      <c r="O40" s="322"/>
      <c r="P40" s="356"/>
      <c r="Q40" s="356"/>
      <c r="R40" s="322"/>
      <c r="S40" s="356"/>
      <c r="T40" s="356"/>
      <c r="W40" s="356"/>
      <c r="X40" s="378"/>
      <c r="Y40" s="356"/>
      <c r="Z40" s="356"/>
      <c r="AA40" s="322"/>
      <c r="AB40" s="356"/>
      <c r="AC40" s="356"/>
      <c r="AD40" s="356"/>
      <c r="AE40" s="356"/>
      <c r="AF40" s="356"/>
      <c r="AG40" s="356"/>
      <c r="AH40" s="356"/>
      <c r="AI40" s="356"/>
      <c r="AJ40" s="356"/>
      <c r="AK40" s="356"/>
      <c r="AL40" s="356"/>
      <c r="AM40" s="356"/>
      <c r="AN40" s="356"/>
      <c r="AO40" s="356"/>
      <c r="AP40" s="356"/>
      <c r="AQ40" s="356"/>
      <c r="AR40" s="356"/>
      <c r="AS40" s="356"/>
      <c r="AT40" s="356"/>
      <c r="AU40" s="356"/>
      <c r="AV40" s="356"/>
      <c r="AW40" s="356"/>
      <c r="AX40" s="356"/>
      <c r="AY40" s="356"/>
      <c r="AZ40" s="356"/>
      <c r="BA40" s="322"/>
      <c r="BB40" s="322"/>
      <c r="BC40" s="356"/>
      <c r="BD40" s="356"/>
      <c r="BE40" s="356"/>
      <c r="BF40" s="356"/>
      <c r="BG40" s="377"/>
      <c r="BI40" s="381"/>
      <c r="BJ40" s="380" t="s">
        <v>242</v>
      </c>
      <c r="BK40" s="356"/>
      <c r="BL40" s="356"/>
      <c r="BM40" s="356"/>
      <c r="BN40" s="356"/>
      <c r="BO40" s="356"/>
      <c r="BP40" s="377"/>
      <c r="BQ40" s="356"/>
      <c r="BR40" s="356"/>
      <c r="BS40" s="356"/>
    </row>
    <row r="41" spans="1:71" ht="21" x14ac:dyDescent="0.35">
      <c r="C41" s="356"/>
      <c r="D41" s="356"/>
      <c r="E41" s="382"/>
      <c r="F41" s="356"/>
      <c r="G41" s="257"/>
      <c r="H41" s="378" t="s">
        <v>387</v>
      </c>
      <c r="I41" s="378"/>
      <c r="J41" s="356"/>
      <c r="K41" s="356"/>
      <c r="L41" s="322"/>
      <c r="M41" s="356"/>
      <c r="N41" s="356"/>
      <c r="Q41" s="356"/>
      <c r="R41" s="322"/>
      <c r="S41" s="356"/>
      <c r="T41" s="356"/>
      <c r="W41" s="385"/>
      <c r="X41" s="378" t="s">
        <v>364</v>
      </c>
      <c r="Y41" s="356"/>
      <c r="Z41" s="356"/>
      <c r="AA41" s="322"/>
      <c r="AB41" s="356"/>
      <c r="AC41" s="356"/>
      <c r="AD41" s="356"/>
      <c r="AE41" s="322"/>
      <c r="AF41" s="356"/>
      <c r="AG41" s="356"/>
      <c r="AH41" s="322"/>
      <c r="AI41" s="356"/>
      <c r="AJ41" s="356"/>
      <c r="AK41" s="322"/>
      <c r="AL41" s="356"/>
      <c r="AM41" s="356"/>
      <c r="AN41" s="322"/>
      <c r="AO41" s="356"/>
      <c r="AP41" s="356"/>
      <c r="AQ41" s="322"/>
      <c r="AR41" s="356"/>
      <c r="AS41" s="356"/>
      <c r="AT41" s="322"/>
      <c r="AU41" s="356"/>
      <c r="AV41" s="356"/>
      <c r="AW41" s="356"/>
      <c r="AX41" s="356"/>
      <c r="AY41" s="356"/>
      <c r="AZ41" s="356"/>
      <c r="BA41" s="322"/>
      <c r="BB41" s="322"/>
      <c r="BC41" s="356"/>
      <c r="BD41" s="356"/>
      <c r="BE41" s="356"/>
      <c r="BF41" s="356"/>
      <c r="BG41" s="377"/>
      <c r="BI41" s="379"/>
      <c r="BJ41" s="377"/>
      <c r="BK41" s="356"/>
      <c r="BL41" s="356"/>
      <c r="BM41" s="356"/>
      <c r="BN41" s="356"/>
      <c r="BO41" s="356"/>
      <c r="BP41" s="377"/>
      <c r="BQ41" s="356"/>
      <c r="BR41" s="356"/>
      <c r="BS41" s="356"/>
    </row>
    <row r="42" spans="1:71" ht="21" x14ac:dyDescent="0.35">
      <c r="C42" s="356"/>
      <c r="D42" s="356"/>
      <c r="E42" s="382"/>
      <c r="F42" s="356"/>
      <c r="G42" s="356"/>
      <c r="H42" s="356"/>
      <c r="I42" s="378"/>
      <c r="J42" s="356"/>
      <c r="K42" s="356"/>
      <c r="L42" s="322"/>
      <c r="M42" s="356"/>
      <c r="N42" s="356"/>
      <c r="Q42" s="356"/>
      <c r="R42" s="322"/>
      <c r="S42" s="356"/>
      <c r="T42" s="356"/>
      <c r="U42" s="356"/>
      <c r="V42" s="356"/>
      <c r="W42" s="356"/>
      <c r="X42" s="322"/>
      <c r="Y42" s="356"/>
      <c r="Z42" s="356"/>
      <c r="AA42" s="322"/>
      <c r="AB42" s="356"/>
      <c r="AC42" s="356"/>
      <c r="AD42" s="356"/>
      <c r="AE42" s="322"/>
      <c r="AF42" s="356"/>
      <c r="AG42" s="356"/>
      <c r="AH42" s="322"/>
      <c r="AI42" s="356"/>
      <c r="AJ42" s="356"/>
      <c r="AK42" s="322"/>
      <c r="AL42" s="356"/>
      <c r="AM42" s="356"/>
      <c r="AN42" s="322"/>
      <c r="AO42" s="356"/>
      <c r="AP42" s="356"/>
      <c r="AQ42" s="322"/>
      <c r="AR42" s="356"/>
      <c r="AS42" s="356"/>
      <c r="AT42" s="322"/>
      <c r="AU42" s="356"/>
      <c r="AV42" s="356"/>
      <c r="AW42" s="356"/>
      <c r="AX42" s="356"/>
      <c r="AY42" s="356"/>
      <c r="AZ42" s="356"/>
      <c r="BA42" s="322"/>
      <c r="BB42" s="322"/>
      <c r="BC42" s="356"/>
      <c r="BD42" s="356"/>
      <c r="BE42" s="356"/>
      <c r="BF42" s="356"/>
      <c r="BG42" s="377"/>
      <c r="BI42" s="384"/>
      <c r="BJ42" s="380" t="s">
        <v>246</v>
      </c>
      <c r="BK42" s="356"/>
      <c r="BL42" s="356"/>
      <c r="BM42" s="356"/>
      <c r="BN42" s="356"/>
      <c r="BO42" s="356"/>
      <c r="BP42" s="377"/>
      <c r="BQ42" s="356"/>
      <c r="BR42" s="356"/>
      <c r="BS42" s="356"/>
    </row>
    <row r="43" spans="1:71" ht="21" x14ac:dyDescent="0.35">
      <c r="C43" s="356"/>
      <c r="D43" s="356"/>
      <c r="E43" s="382"/>
      <c r="F43" s="356"/>
      <c r="G43" s="356"/>
      <c r="H43" s="356"/>
      <c r="I43" s="378"/>
      <c r="J43" s="356"/>
      <c r="K43" s="356"/>
      <c r="L43" s="322"/>
      <c r="M43" s="356"/>
      <c r="N43" s="356"/>
      <c r="Q43" s="356"/>
      <c r="R43" s="322"/>
      <c r="S43" s="356"/>
      <c r="T43" s="356"/>
      <c r="U43" s="356"/>
      <c r="V43" s="356"/>
      <c r="W43" s="356"/>
      <c r="X43" s="322"/>
      <c r="Y43" s="356"/>
      <c r="Z43" s="356"/>
      <c r="AA43" s="322"/>
      <c r="AB43" s="356"/>
      <c r="AC43" s="356"/>
      <c r="AD43" s="356"/>
      <c r="AE43" s="322"/>
      <c r="AF43" s="356"/>
      <c r="AG43" s="356"/>
      <c r="AH43" s="322"/>
      <c r="AI43" s="356"/>
      <c r="AJ43" s="356"/>
      <c r="AK43" s="322"/>
      <c r="AL43" s="356"/>
      <c r="AM43" s="356"/>
      <c r="AN43" s="322"/>
      <c r="AO43" s="356"/>
      <c r="AP43" s="356"/>
      <c r="AQ43" s="322"/>
      <c r="AR43" s="356"/>
      <c r="AS43" s="356"/>
      <c r="AT43" s="322"/>
      <c r="AU43" s="356"/>
      <c r="AV43" s="356"/>
      <c r="AW43" s="356"/>
      <c r="AX43" s="356"/>
      <c r="AY43" s="356"/>
      <c r="AZ43" s="356"/>
      <c r="BA43" s="322"/>
      <c r="BB43" s="322"/>
      <c r="BC43" s="356"/>
      <c r="BD43" s="356"/>
      <c r="BE43" s="356"/>
      <c r="BF43" s="356"/>
      <c r="BG43" s="377"/>
      <c r="BI43" s="379"/>
      <c r="BJ43" s="377"/>
      <c r="BK43" s="356"/>
      <c r="BL43" s="356"/>
      <c r="BM43" s="356"/>
      <c r="BN43" s="356"/>
      <c r="BO43" s="356"/>
      <c r="BP43" s="377"/>
      <c r="BQ43" s="356"/>
      <c r="BR43" s="356"/>
      <c r="BS43" s="356"/>
    </row>
    <row r="44" spans="1:71" ht="21" x14ac:dyDescent="0.35">
      <c r="C44" s="356"/>
      <c r="D44" s="356"/>
      <c r="E44" s="382"/>
      <c r="F44" s="356"/>
      <c r="G44" s="356"/>
      <c r="H44" s="356"/>
      <c r="I44" s="356"/>
      <c r="J44" s="356"/>
      <c r="K44" s="356"/>
      <c r="L44" s="322"/>
      <c r="M44" s="356"/>
      <c r="N44" s="356"/>
      <c r="O44" s="322"/>
      <c r="P44" s="356"/>
      <c r="Q44" s="356"/>
      <c r="R44" s="322"/>
      <c r="S44" s="356"/>
      <c r="T44" s="356"/>
      <c r="U44" s="356"/>
      <c r="V44" s="356"/>
      <c r="W44" s="356"/>
      <c r="X44" s="322"/>
      <c r="Y44" s="356"/>
      <c r="Z44" s="356"/>
      <c r="AA44" s="322"/>
      <c r="AB44" s="356"/>
      <c r="AC44" s="356"/>
      <c r="AD44" s="356"/>
      <c r="AE44" s="322"/>
      <c r="AF44" s="356"/>
      <c r="AG44" s="356"/>
      <c r="AH44" s="322"/>
      <c r="AI44" s="356"/>
      <c r="AJ44" s="356"/>
      <c r="AK44" s="322"/>
      <c r="AL44" s="356"/>
      <c r="AM44" s="356"/>
      <c r="AN44" s="322"/>
      <c r="AO44" s="356"/>
      <c r="AP44" s="356"/>
      <c r="AQ44" s="322"/>
      <c r="AR44" s="356"/>
      <c r="AS44" s="356"/>
      <c r="AT44" s="322"/>
      <c r="AU44" s="356"/>
      <c r="AV44" s="356"/>
      <c r="AW44" s="356"/>
      <c r="AX44" s="356"/>
      <c r="AY44" s="356"/>
      <c r="AZ44" s="356"/>
      <c r="BA44" s="322"/>
      <c r="BB44" s="322"/>
      <c r="BC44" s="356"/>
      <c r="BD44" s="356"/>
      <c r="BE44" s="356"/>
      <c r="BF44" s="356"/>
      <c r="BG44" s="377"/>
      <c r="BI44" s="386"/>
      <c r="BJ44" s="380" t="s">
        <v>243</v>
      </c>
      <c r="BK44" s="356"/>
      <c r="BL44" s="356"/>
      <c r="BM44" s="356"/>
      <c r="BN44" s="356"/>
      <c r="BO44" s="356"/>
      <c r="BP44" s="377"/>
      <c r="BQ44" s="356"/>
      <c r="BR44" s="356"/>
      <c r="BS44" s="356"/>
    </row>
    <row r="45" spans="1:71" ht="15.75" thickBot="1" x14ac:dyDescent="0.3">
      <c r="B45" s="356"/>
      <c r="C45" s="356"/>
      <c r="D45" s="356"/>
      <c r="E45" s="356"/>
      <c r="F45" s="356"/>
      <c r="G45" s="356"/>
      <c r="H45" s="378"/>
      <c r="I45" s="378"/>
      <c r="J45" s="356"/>
      <c r="K45" s="356"/>
      <c r="L45" s="322"/>
      <c r="M45" s="356"/>
      <c r="N45" s="356"/>
      <c r="O45" s="322"/>
      <c r="P45" s="356"/>
      <c r="Q45" s="356"/>
      <c r="R45" s="322"/>
      <c r="S45" s="356"/>
      <c r="T45" s="356"/>
      <c r="U45" s="356"/>
      <c r="V45" s="356"/>
      <c r="W45" s="356"/>
      <c r="X45" s="322"/>
      <c r="Y45" s="356"/>
      <c r="Z45" s="356"/>
      <c r="AA45" s="322"/>
      <c r="AB45" s="356"/>
      <c r="AC45" s="356"/>
      <c r="AD45" s="356"/>
      <c r="AE45" s="322"/>
      <c r="AF45" s="356"/>
      <c r="AG45" s="356"/>
      <c r="AH45" s="322"/>
      <c r="AI45" s="356"/>
      <c r="AJ45" s="356"/>
      <c r="AK45" s="322"/>
      <c r="AL45" s="356"/>
      <c r="AM45" s="356"/>
      <c r="AN45" s="322"/>
      <c r="AO45" s="356"/>
      <c r="AP45" s="356"/>
      <c r="AQ45" s="322"/>
      <c r="AR45" s="356"/>
      <c r="AS45" s="356"/>
      <c r="AT45" s="322"/>
      <c r="AU45" s="356"/>
      <c r="AV45" s="356"/>
      <c r="AW45" s="356"/>
      <c r="AX45" s="356"/>
      <c r="AY45" s="356"/>
      <c r="AZ45" s="356"/>
      <c r="BA45" s="322"/>
      <c r="BB45" s="322"/>
      <c r="BC45" s="356"/>
      <c r="BD45" s="356"/>
      <c r="BE45" s="356"/>
      <c r="BF45" s="356"/>
      <c r="BG45" s="377"/>
      <c r="BH45" s="379"/>
      <c r="BI45" s="377"/>
      <c r="BJ45" s="356"/>
      <c r="BK45" s="356"/>
      <c r="BL45" s="356"/>
      <c r="BM45" s="356"/>
      <c r="BN45" s="356"/>
      <c r="BO45" s="356"/>
      <c r="BP45" s="377"/>
      <c r="BQ45" s="356"/>
      <c r="BR45" s="356"/>
      <c r="BS45" s="356"/>
    </row>
    <row r="46" spans="1:71" x14ac:dyDescent="0.25">
      <c r="B46" s="372"/>
      <c r="C46" s="372"/>
      <c r="D46" s="372"/>
      <c r="E46" s="372"/>
      <c r="F46" s="372"/>
      <c r="G46" s="373"/>
      <c r="H46" s="372"/>
      <c r="I46" s="372"/>
      <c r="J46" s="372"/>
      <c r="K46" s="372"/>
      <c r="L46" s="373"/>
      <c r="M46" s="372"/>
      <c r="N46" s="372"/>
      <c r="O46" s="373"/>
      <c r="P46" s="372"/>
      <c r="Q46" s="372"/>
      <c r="R46" s="373"/>
      <c r="S46" s="372"/>
      <c r="T46" s="372"/>
      <c r="U46" s="372"/>
      <c r="V46" s="372"/>
      <c r="W46" s="372"/>
      <c r="X46" s="373"/>
      <c r="Y46" s="372"/>
      <c r="Z46" s="372"/>
      <c r="AA46" s="373"/>
      <c r="AB46" s="372"/>
      <c r="AC46" s="372"/>
      <c r="AD46" s="372"/>
      <c r="AE46" s="373"/>
      <c r="AF46" s="372"/>
      <c r="AG46" s="372"/>
      <c r="AH46" s="373"/>
      <c r="AI46" s="372"/>
      <c r="AJ46" s="372"/>
      <c r="AK46" s="373"/>
      <c r="AL46" s="372"/>
      <c r="AM46" s="372"/>
      <c r="AN46" s="373"/>
      <c r="AO46" s="372"/>
      <c r="AP46" s="372"/>
      <c r="AQ46" s="373"/>
      <c r="AR46" s="372"/>
      <c r="AS46" s="372"/>
      <c r="AT46" s="373"/>
      <c r="AU46" s="372"/>
      <c r="AV46" s="372"/>
      <c r="AW46" s="372"/>
      <c r="AX46" s="372"/>
      <c r="AY46" s="372"/>
      <c r="AZ46" s="372"/>
      <c r="BA46" s="373"/>
      <c r="BB46" s="373"/>
      <c r="BC46" s="372"/>
      <c r="BD46" s="372"/>
      <c r="BE46" s="372"/>
      <c r="BF46" s="372"/>
      <c r="BG46" s="372"/>
      <c r="BH46" s="373"/>
      <c r="BI46" s="372"/>
      <c r="BJ46" s="372"/>
      <c r="BK46" s="372"/>
      <c r="BL46" s="372"/>
      <c r="BM46" s="372"/>
      <c r="BN46" s="372"/>
      <c r="BO46" s="372"/>
      <c r="BP46" s="372"/>
      <c r="BQ46" s="372"/>
      <c r="BR46" s="372"/>
      <c r="BS46" s="372"/>
    </row>
    <row r="48" spans="1:71" x14ac:dyDescent="0.25">
      <c r="O48" s="350"/>
    </row>
    <row r="50" spans="15:66" x14ac:dyDescent="0.25">
      <c r="O50" s="350"/>
    </row>
    <row r="58" spans="15:66" x14ac:dyDescent="0.25">
      <c r="X58" s="387"/>
      <c r="Y58" s="387"/>
      <c r="Z58" s="387"/>
      <c r="AA58" s="387"/>
      <c r="AB58" s="387"/>
      <c r="AC58" s="387"/>
      <c r="AD58" s="387"/>
      <c r="AE58" s="387"/>
      <c r="AF58" s="387"/>
      <c r="AG58" s="387"/>
      <c r="AH58" s="387"/>
      <c r="AI58" s="387"/>
      <c r="AJ58" s="387"/>
      <c r="AK58" s="387"/>
      <c r="AL58" s="387"/>
      <c r="AM58" s="387"/>
      <c r="AN58" s="387"/>
      <c r="AO58" s="387"/>
      <c r="AP58" s="387"/>
      <c r="AQ58" s="387"/>
      <c r="AR58" s="387"/>
      <c r="AS58" s="387"/>
      <c r="AT58" s="387"/>
      <c r="AU58" s="387"/>
      <c r="AV58" s="387"/>
      <c r="AW58" s="387"/>
      <c r="AX58" s="387"/>
      <c r="AY58" s="387"/>
      <c r="AZ58" s="387"/>
      <c r="BA58" s="387"/>
    </row>
    <row r="59" spans="15:66" x14ac:dyDescent="0.25">
      <c r="X59" s="388"/>
      <c r="Y59" s="388"/>
      <c r="Z59" s="388"/>
      <c r="AA59" s="388"/>
      <c r="AB59" s="388"/>
      <c r="AC59" s="388"/>
      <c r="AD59" s="388"/>
      <c r="AE59" s="388"/>
      <c r="AF59" s="388"/>
      <c r="AG59" s="388"/>
      <c r="AH59" s="388"/>
      <c r="AI59" s="388"/>
      <c r="AJ59" s="388"/>
      <c r="AK59" s="388"/>
      <c r="AL59" s="388"/>
      <c r="AM59" s="388"/>
      <c r="AN59" s="388"/>
      <c r="AO59" s="388"/>
      <c r="AP59" s="388"/>
      <c r="AQ59" s="388"/>
      <c r="AR59" s="388"/>
      <c r="AS59" s="388"/>
      <c r="AT59" s="388"/>
      <c r="AU59" s="388"/>
      <c r="AV59" s="388"/>
      <c r="AW59" s="388"/>
      <c r="AX59" s="388"/>
      <c r="AY59" s="388"/>
      <c r="AZ59" s="388"/>
      <c r="BA59" s="388"/>
    </row>
    <row r="60" spans="15:66" x14ac:dyDescent="0.25">
      <c r="X60" s="388"/>
      <c r="Y60" s="388"/>
      <c r="Z60" s="388"/>
      <c r="AA60" s="388"/>
      <c r="AB60" s="388"/>
      <c r="AC60" s="388"/>
      <c r="AD60" s="388"/>
      <c r="AE60" s="388"/>
      <c r="AF60" s="388"/>
      <c r="AG60" s="388"/>
      <c r="AH60" s="388"/>
      <c r="AI60" s="388"/>
      <c r="AJ60" s="388"/>
      <c r="AK60" s="388"/>
      <c r="AL60" s="388"/>
      <c r="AM60" s="388"/>
      <c r="AN60" s="388"/>
      <c r="AO60" s="388"/>
      <c r="AP60" s="388"/>
      <c r="AQ60" s="388"/>
      <c r="AR60" s="388"/>
      <c r="AS60" s="388"/>
      <c r="AT60" s="388"/>
      <c r="AU60" s="388"/>
      <c r="AV60" s="388"/>
      <c r="AW60" s="388"/>
      <c r="AX60" s="388"/>
      <c r="AY60" s="388"/>
      <c r="AZ60" s="388"/>
      <c r="BA60" s="388"/>
    </row>
    <row r="61" spans="15:66" x14ac:dyDescent="0.25">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8"/>
      <c r="AT61" s="388"/>
      <c r="AU61" s="388"/>
      <c r="AV61" s="388"/>
      <c r="AW61" s="388"/>
      <c r="AX61" s="388"/>
      <c r="AY61" s="388"/>
      <c r="AZ61" s="388"/>
      <c r="BA61" s="388"/>
    </row>
    <row r="63" spans="15:66" x14ac:dyDescent="0.25">
      <c r="BN63" s="389"/>
    </row>
    <row r="64" spans="15:66" x14ac:dyDescent="0.25">
      <c r="BN64" s="390"/>
    </row>
    <row r="65" spans="10:66" x14ac:dyDescent="0.25">
      <c r="BN65" s="390"/>
    </row>
    <row r="66" spans="10:66" x14ac:dyDescent="0.25">
      <c r="BN66" s="390"/>
    </row>
    <row r="67" spans="10:66" x14ac:dyDescent="0.25">
      <c r="BN67" s="390"/>
    </row>
    <row r="68" spans="10:66" x14ac:dyDescent="0.25">
      <c r="BN68" s="390"/>
    </row>
    <row r="69" spans="10:66" x14ac:dyDescent="0.25">
      <c r="BN69" s="390"/>
    </row>
    <row r="70" spans="10:66" x14ac:dyDescent="0.25">
      <c r="BN70" s="390"/>
    </row>
    <row r="71" spans="10:66" x14ac:dyDescent="0.25">
      <c r="BN71" s="390"/>
    </row>
    <row r="72" spans="10:66" x14ac:dyDescent="0.25">
      <c r="BN72" s="390"/>
    </row>
    <row r="73" spans="10:66" x14ac:dyDescent="0.25">
      <c r="J73" s="388"/>
      <c r="BN73" s="390"/>
    </row>
    <row r="74" spans="10:66" x14ac:dyDescent="0.25">
      <c r="BN74" s="390"/>
    </row>
    <row r="75" spans="10:66" x14ac:dyDescent="0.25">
      <c r="BN75" s="390"/>
    </row>
    <row r="76" spans="10:66" x14ac:dyDescent="0.25">
      <c r="BN76" s="390"/>
    </row>
    <row r="77" spans="10:66" x14ac:dyDescent="0.25">
      <c r="BN77" s="390"/>
    </row>
    <row r="78" spans="10:66" x14ac:dyDescent="0.25">
      <c r="BN78" s="390"/>
    </row>
    <row r="79" spans="10:66" x14ac:dyDescent="0.25">
      <c r="BN79" s="390"/>
    </row>
    <row r="80" spans="10:66" x14ac:dyDescent="0.25">
      <c r="BN80" s="390"/>
    </row>
    <row r="81" spans="5:66" x14ac:dyDescent="0.25">
      <c r="BN81" s="390"/>
    </row>
    <row r="82" spans="5:66" x14ac:dyDescent="0.25">
      <c r="BN82" s="390"/>
    </row>
    <row r="83" spans="5:66" x14ac:dyDescent="0.25">
      <c r="BN83" s="390"/>
    </row>
    <row r="84" spans="5:66" x14ac:dyDescent="0.25">
      <c r="BN84" s="391"/>
    </row>
    <row r="89" spans="5:66" x14ac:dyDescent="0.25">
      <c r="E89" s="280"/>
    </row>
  </sheetData>
  <sheetProtection selectLockedCells="1"/>
  <mergeCells count="7">
    <mergeCell ref="AT1:AV1"/>
    <mergeCell ref="AW1:BB1"/>
    <mergeCell ref="BC1:BD1"/>
    <mergeCell ref="BI8:BL8"/>
    <mergeCell ref="O1:AS1"/>
    <mergeCell ref="BI7:BL7"/>
    <mergeCell ref="O2:BG2"/>
  </mergeCells>
  <conditionalFormatting sqref="O12 O25 O32">
    <cfRule type="expression" dxfId="175" priority="83">
      <formula>$O$5&lt;&gt;0</formula>
    </cfRule>
  </conditionalFormatting>
  <conditionalFormatting sqref="R12 R25 R32">
    <cfRule type="expression" dxfId="174" priority="82">
      <formula>$R$5&lt;&gt;0</formula>
    </cfRule>
  </conditionalFormatting>
  <conditionalFormatting sqref="R13">
    <cfRule type="expression" dxfId="173" priority="80">
      <formula>$R$5&lt;&gt;0</formula>
    </cfRule>
  </conditionalFormatting>
  <conditionalFormatting sqref="X12:X13 X25 X32">
    <cfRule type="expression" dxfId="172" priority="79">
      <formula>$X$5&lt;&gt;0</formula>
    </cfRule>
  </conditionalFormatting>
  <conditionalFormatting sqref="X14">
    <cfRule type="expression" dxfId="171" priority="78">
      <formula>$X$5&lt;&gt;0</formula>
    </cfRule>
  </conditionalFormatting>
  <conditionalFormatting sqref="AA12:AA13 AA25 AA32">
    <cfRule type="expression" dxfId="170" priority="77">
      <formula>$AA$5&lt;&gt;0</formula>
    </cfRule>
  </conditionalFormatting>
  <conditionalFormatting sqref="AA15">
    <cfRule type="expression" dxfId="169" priority="76">
      <formula>$AA$5&lt;&gt;0</formula>
    </cfRule>
  </conditionalFormatting>
  <conditionalFormatting sqref="AE28">
    <cfRule type="expression" dxfId="168" priority="73">
      <formula>$AE$5&gt;0</formula>
    </cfRule>
  </conditionalFormatting>
  <conditionalFormatting sqref="AH28 AH30">
    <cfRule type="expression" dxfId="167" priority="71">
      <formula>$AH$5&gt;0</formula>
    </cfRule>
  </conditionalFormatting>
  <conditionalFormatting sqref="AN28 AN30">
    <cfRule type="expression" dxfId="166" priority="69">
      <formula>$AN$5&gt;0</formula>
    </cfRule>
  </conditionalFormatting>
  <conditionalFormatting sqref="AQ24 AQ26 AQ21 AQ30 AQ14">
    <cfRule type="expression" dxfId="165" priority="68">
      <formula>$AQ$5&gt;0</formula>
    </cfRule>
  </conditionalFormatting>
  <conditionalFormatting sqref="AQ28">
    <cfRule type="expression" dxfId="164" priority="67">
      <formula>$AQ$5&gt;0</formula>
    </cfRule>
  </conditionalFormatting>
  <conditionalFormatting sqref="AT30">
    <cfRule type="expression" dxfId="163" priority="66">
      <formula>$AT$5&gt;0</formula>
    </cfRule>
  </conditionalFormatting>
  <conditionalFormatting sqref="BK20">
    <cfRule type="cellIs" dxfId="162" priority="61" operator="lessThan">
      <formula>30</formula>
    </cfRule>
    <cfRule type="cellIs" dxfId="161" priority="62" operator="between">
      <formula>30</formula>
      <formula>60</formula>
    </cfRule>
    <cfRule type="cellIs" dxfId="160" priority="63" operator="between">
      <formula>60</formula>
      <formula>130</formula>
    </cfRule>
    <cfRule type="cellIs" dxfId="159" priority="64" operator="between">
      <formula>130</formula>
      <formula>150</formula>
    </cfRule>
    <cfRule type="cellIs" dxfId="158" priority="65" operator="greaterThan">
      <formula>150</formula>
    </cfRule>
  </conditionalFormatting>
  <conditionalFormatting sqref="BK21">
    <cfRule type="cellIs" dxfId="157" priority="59" operator="lessThan">
      <formula>20</formula>
    </cfRule>
    <cfRule type="cellIs" dxfId="156" priority="60" operator="greaterThan">
      <formula>20</formula>
    </cfRule>
  </conditionalFormatting>
  <conditionalFormatting sqref="BK22">
    <cfRule type="cellIs" dxfId="155" priority="56" operator="lessThan">
      <formula>45</formula>
    </cfRule>
    <cfRule type="cellIs" dxfId="154" priority="57" operator="between">
      <formula>45</formula>
      <formula>50</formula>
    </cfRule>
    <cfRule type="cellIs" dxfId="153" priority="58" operator="greaterThan">
      <formula>50</formula>
    </cfRule>
  </conditionalFormatting>
  <conditionalFormatting sqref="BK13">
    <cfRule type="cellIs" dxfId="152" priority="53" operator="lessThan">
      <formula>400</formula>
    </cfRule>
    <cfRule type="cellIs" dxfId="151" priority="54" operator="between">
      <formula>400</formula>
      <formula>500</formula>
    </cfRule>
    <cfRule type="cellIs" dxfId="150" priority="55" operator="greaterThan">
      <formula>500</formula>
    </cfRule>
  </conditionalFormatting>
  <conditionalFormatting sqref="BK14:BK16">
    <cfRule type="cellIs" dxfId="149" priority="50" operator="lessThan">
      <formula>200</formula>
    </cfRule>
    <cfRule type="cellIs" dxfId="148" priority="51" operator="between">
      <formula>200</formula>
      <formula>250</formula>
    </cfRule>
    <cfRule type="cellIs" dxfId="147" priority="52" operator="greaterThan">
      <formula>250</formula>
    </cfRule>
  </conditionalFormatting>
  <conditionalFormatting sqref="U12:U13 U25 U32">
    <cfRule type="expression" dxfId="146" priority="49">
      <formula>$U$5&lt;&gt;0</formula>
    </cfRule>
  </conditionalFormatting>
  <conditionalFormatting sqref="AE14 AE20 AE24 AE26 AE30">
    <cfRule type="expression" dxfId="145" priority="46">
      <formula>$AE$5&lt;&gt;0</formula>
    </cfRule>
  </conditionalFormatting>
  <conditionalFormatting sqref="AH15 AH20 AH24 AH26">
    <cfRule type="expression" dxfId="144" priority="45">
      <formula>$AH$5&lt;&gt;0</formula>
    </cfRule>
  </conditionalFormatting>
  <conditionalFormatting sqref="AN15 AN24 AN26">
    <cfRule type="expression" dxfId="143" priority="44">
      <formula>$AN$5&lt;&gt;0</formula>
    </cfRule>
  </conditionalFormatting>
  <conditionalFormatting sqref="AT15 AT22">
    <cfRule type="expression" dxfId="142" priority="43">
      <formula>$AT$5&lt;&gt;0</formula>
    </cfRule>
  </conditionalFormatting>
  <conditionalFormatting sqref="AW12:AW13 AW22 AW25 AW32 AW28">
    <cfRule type="expression" dxfId="141" priority="42">
      <formula>$AW$5&gt;0</formula>
    </cfRule>
  </conditionalFormatting>
  <conditionalFormatting sqref="AW26">
    <cfRule type="expression" dxfId="140" priority="41">
      <formula>$AW$5&gt;0</formula>
    </cfRule>
  </conditionalFormatting>
  <conditionalFormatting sqref="O13">
    <cfRule type="expression" dxfId="139" priority="40">
      <formula>$O$5&lt;&gt;0</formula>
    </cfRule>
  </conditionalFormatting>
  <conditionalFormatting sqref="BA12">
    <cfRule type="expression" dxfId="138" priority="39">
      <formula>$BA$5&gt;0</formula>
    </cfRule>
  </conditionalFormatting>
  <conditionalFormatting sqref="BA25">
    <cfRule type="expression" dxfId="137" priority="38">
      <formula>$BA$5&gt;0</formula>
    </cfRule>
  </conditionalFormatting>
  <conditionalFormatting sqref="BA26">
    <cfRule type="expression" dxfId="136" priority="28">
      <formula>$BA$26&gt;$AW$26</formula>
    </cfRule>
    <cfRule type="expression" dxfId="135" priority="29">
      <formula>$BA$26&lt;$AW$26</formula>
    </cfRule>
  </conditionalFormatting>
  <conditionalFormatting sqref="BA13:BA15">
    <cfRule type="expression" dxfId="134" priority="34">
      <formula>$BA$5&gt;0</formula>
    </cfRule>
  </conditionalFormatting>
  <conditionalFormatting sqref="BA20">
    <cfRule type="expression" dxfId="133" priority="33">
      <formula>$BA$5&gt;0</formula>
    </cfRule>
  </conditionalFormatting>
  <conditionalFormatting sqref="BA21">
    <cfRule type="expression" dxfId="132" priority="32">
      <formula>$BA$5&gt;0</formula>
    </cfRule>
  </conditionalFormatting>
  <conditionalFormatting sqref="BA22">
    <cfRule type="expression" dxfId="131" priority="31">
      <formula>$BA$5&gt;0</formula>
    </cfRule>
  </conditionalFormatting>
  <conditionalFormatting sqref="BA24">
    <cfRule type="expression" dxfId="130" priority="3">
      <formula>$BA$24&lt;$AW$24</formula>
    </cfRule>
    <cfRule type="expression" dxfId="129" priority="4">
      <formula>$BA$24&gt;$AW$24</formula>
    </cfRule>
  </conditionalFormatting>
  <conditionalFormatting sqref="BA28">
    <cfRule type="expression" dxfId="128" priority="26">
      <formula>$BA$28&gt;$AW$28</formula>
    </cfRule>
    <cfRule type="expression" dxfId="127" priority="27">
      <formula>$BA$28&lt;$AW$28</formula>
    </cfRule>
  </conditionalFormatting>
  <conditionalFormatting sqref="BA30">
    <cfRule type="expression" dxfId="126" priority="24">
      <formula>$BA$30&gt;$AW$30</formula>
    </cfRule>
    <cfRule type="expression" dxfId="125" priority="25">
      <formula>$BA$30&lt;$AW$30</formula>
    </cfRule>
  </conditionalFormatting>
  <conditionalFormatting sqref="BA32">
    <cfRule type="expression" dxfId="124" priority="22">
      <formula>$BA$32&gt;$AW$32</formula>
    </cfRule>
    <cfRule type="expression" dxfId="123" priority="23">
      <formula>$BA$32&lt;$AW$32</formula>
    </cfRule>
  </conditionalFormatting>
  <conditionalFormatting sqref="AK24 AK26">
    <cfRule type="expression" dxfId="122" priority="21">
      <formula>$AK$5&lt;&gt;0</formula>
    </cfRule>
  </conditionalFormatting>
  <conditionalFormatting sqref="AK28 AK30">
    <cfRule type="expression" dxfId="121" priority="20">
      <formula>$AK$5&gt;0</formula>
    </cfRule>
  </conditionalFormatting>
  <conditionalFormatting sqref="AK20">
    <cfRule type="expression" dxfId="120" priority="19">
      <formula>$AK$5&lt;&gt;0</formula>
    </cfRule>
  </conditionalFormatting>
  <conditionalFormatting sqref="AK15">
    <cfRule type="expression" dxfId="119" priority="18">
      <formula>$AK$5&lt;&gt;0</formula>
    </cfRule>
  </conditionalFormatting>
  <conditionalFormatting sqref="AE32">
    <cfRule type="expression" dxfId="118" priority="17">
      <formula>$AE$5&lt;&gt;0</formula>
    </cfRule>
  </conditionalFormatting>
  <conditionalFormatting sqref="AH32">
    <cfRule type="expression" dxfId="117" priority="16">
      <formula>$AH$5&lt;&gt;0</formula>
    </cfRule>
  </conditionalFormatting>
  <conditionalFormatting sqref="AK32">
    <cfRule type="expression" dxfId="116" priority="15">
      <formula>$AK$5&lt;&gt;0</formula>
    </cfRule>
  </conditionalFormatting>
  <conditionalFormatting sqref="AN21">
    <cfRule type="expression" dxfId="115" priority="13">
      <formula>$AN$5&gt;0</formula>
    </cfRule>
  </conditionalFormatting>
  <conditionalFormatting sqref="AN32">
    <cfRule type="expression" dxfId="114" priority="12">
      <formula>$AN$5</formula>
    </cfRule>
  </conditionalFormatting>
  <conditionalFormatting sqref="AQ32">
    <cfRule type="expression" dxfId="113" priority="11">
      <formula>$AQ$5</formula>
    </cfRule>
  </conditionalFormatting>
  <conditionalFormatting sqref="O28">
    <cfRule type="expression" dxfId="112" priority="10">
      <formula>$O$5&lt;&gt;0</formula>
    </cfRule>
  </conditionalFormatting>
  <conditionalFormatting sqref="O26">
    <cfRule type="expression" dxfId="111" priority="9">
      <formula>$O$5&lt;&gt;0</formula>
    </cfRule>
  </conditionalFormatting>
  <conditionalFormatting sqref="U26">
    <cfRule type="expression" dxfId="110" priority="8">
      <formula>$U$5&lt;&gt;0</formula>
    </cfRule>
  </conditionalFormatting>
  <conditionalFormatting sqref="AA26">
    <cfRule type="expression" dxfId="109" priority="7">
      <formula>$AA$5&lt;&gt;0</formula>
    </cfRule>
  </conditionalFormatting>
  <conditionalFormatting sqref="AA28">
    <cfRule type="expression" dxfId="108" priority="6">
      <formula>$AA$5&lt;&gt;0</formula>
    </cfRule>
  </conditionalFormatting>
  <conditionalFormatting sqref="AA30">
    <cfRule type="expression" dxfId="107" priority="5">
      <formula>$AA$5&lt;&gt;0</formula>
    </cfRule>
  </conditionalFormatting>
  <conditionalFormatting sqref="X26">
    <cfRule type="expression" dxfId="106" priority="2">
      <formula>$X$5&lt;&gt;0</formula>
    </cfRule>
  </conditionalFormatting>
  <conditionalFormatting sqref="X30">
    <cfRule type="expression" dxfId="105" priority="1">
      <formula>$X$5&lt;&gt;0</formula>
    </cfRule>
  </conditionalFormatting>
  <pageMargins left="0.7" right="0.7" top="0.78740157499999996" bottom="0.78740157499999996" header="0.3" footer="0.3"/>
  <pageSetup paperSize="9" orientation="portrait"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iconSet" priority="75" id="{0D8C4C42-8DE6-44F5-BC4C-3D4A63CA6824}">
            <x14:iconSet showValue="0" custom="1">
              <x14:cfvo type="percent">
                <xm:f>0</xm:f>
              </x14:cfvo>
              <x14:cfvo type="num">
                <xm:f>60</xm:f>
              </x14:cfvo>
              <x14:cfvo type="num">
                <xm:f>80</xm:f>
              </x14:cfvo>
              <x14:cfIcon iconSet="3TrafficLights1" iconId="2"/>
              <x14:cfIcon iconSet="NoIcons" iconId="0"/>
              <x14:cfIcon iconSet="NoIcons" iconId="0"/>
            </x14:iconSet>
          </x14:cfRule>
          <xm:sqref>BP26</xm:sqref>
        </x14:conditionalFormatting>
      </x14:conditionalFormattings>
    </ext>
    <ext xmlns:x14="http://schemas.microsoft.com/office/spreadsheetml/2009/9/main" uri="{CCE6A557-97BC-4b89-ADB6-D9C93CAAB3DF}">
      <x14:dataValidations xmlns:xm="http://schemas.microsoft.com/office/excel/2006/main" count="1">
        <x14:dataValidation type="list" showInputMessage="1" showErrorMessage="1" errorTitle="Ungültige Eingabe..." error="Bitte wahlen Sie einen Eintrag aus der dropdown Liste aus" prompt="Bitte aus dropdown-Liste die Einheit des Wasserversorgers auswählen">
          <x14:formula1>
            <xm:f>'Infos &amp; Hilfseinträge'!$I$18:$I$19</xm:f>
          </x14:formula1>
          <xm:sqref>H11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A1:DH785"/>
  <sheetViews>
    <sheetView showGridLines="0" zoomScaleNormal="100" workbookViewId="0">
      <pane xSplit="15" topLeftCell="P1" activePane="topRight" state="frozen"/>
      <selection pane="topRight" activeCell="AL9" sqref="AL9"/>
    </sheetView>
  </sheetViews>
  <sheetFormatPr baseColWidth="10" defaultRowHeight="15" x14ac:dyDescent="0.25"/>
  <cols>
    <col min="1" max="1" width="3.42578125" style="38" customWidth="1"/>
    <col min="2" max="4" width="5.28515625" customWidth="1"/>
    <col min="5" max="5" width="7.140625" customWidth="1"/>
    <col min="6" max="10" width="5.28515625" customWidth="1"/>
    <col min="11" max="11" width="7.140625" customWidth="1"/>
    <col min="12" max="13" width="5.28515625" customWidth="1"/>
    <col min="14" max="14" width="10" customWidth="1"/>
    <col min="15" max="15" width="1.42578125" style="65" customWidth="1"/>
    <col min="16" max="16" width="5.140625" customWidth="1"/>
    <col min="17" max="17" width="27.28515625" customWidth="1"/>
    <col min="18" max="18" width="3.85546875" style="196" customWidth="1"/>
    <col min="19" max="19" width="23.7109375" style="196" customWidth="1"/>
    <col min="20" max="20" width="3.42578125" style="196" customWidth="1"/>
    <col min="21" max="21" width="15.7109375" customWidth="1"/>
    <col min="22" max="22" width="9.28515625" customWidth="1"/>
    <col min="23" max="23" width="5.140625" customWidth="1"/>
    <col min="24" max="24" width="14.85546875" style="196" customWidth="1"/>
    <col min="25" max="25" width="2.85546875" style="196" customWidth="1"/>
    <col min="26" max="26" width="14.85546875" customWidth="1"/>
    <col min="27" max="27" width="2.85546875" customWidth="1"/>
    <col min="28" max="28" width="10.7109375" customWidth="1"/>
    <col min="29" max="29" width="2.85546875" bestFit="1" customWidth="1"/>
    <col min="30" max="30" width="10.7109375" customWidth="1"/>
    <col min="31" max="31" width="2.85546875" customWidth="1"/>
    <col min="32" max="32" width="10.7109375" customWidth="1"/>
    <col min="33" max="33" width="2.85546875" bestFit="1" customWidth="1"/>
    <col min="34" max="34" width="10.7109375" customWidth="1"/>
    <col min="35" max="35" width="2.85546875" bestFit="1" customWidth="1"/>
    <col min="36" max="36" width="10.7109375" customWidth="1"/>
    <col min="37" max="37" width="2.85546875" bestFit="1" customWidth="1"/>
    <col min="38" max="38" width="10.7109375" customWidth="1"/>
    <col min="39" max="39" width="2.85546875" customWidth="1"/>
    <col min="40" max="40" width="10.7109375" customWidth="1"/>
    <col min="41" max="41" width="2.85546875" customWidth="1"/>
    <col min="42" max="42" width="10.7109375" customWidth="1"/>
    <col min="43" max="43" width="2.85546875" customWidth="1"/>
    <col min="44" max="44" width="11.42578125" customWidth="1"/>
    <col min="45" max="45" width="2.7109375" customWidth="1"/>
    <col min="46" max="46" width="11.42578125" customWidth="1"/>
    <col min="47" max="47" width="2.85546875" customWidth="1"/>
    <col min="48" max="48" width="11.42578125" customWidth="1"/>
    <col min="49" max="49" width="2.85546875" customWidth="1"/>
    <col min="50" max="50" width="11.42578125" customWidth="1"/>
    <col min="51" max="51" width="5.42578125" customWidth="1"/>
    <col min="52" max="52" width="19" style="18" customWidth="1"/>
    <col min="53" max="53" width="1.5703125" customWidth="1"/>
    <col min="54" max="54" width="16.85546875" customWidth="1"/>
    <col min="55" max="55" width="1.140625" style="18" customWidth="1"/>
    <col min="56" max="56" width="17.28515625" bestFit="1" customWidth="1"/>
    <col min="57" max="57" width="6.28515625" customWidth="1"/>
    <col min="58" max="58" width="1.5703125" style="18" customWidth="1"/>
    <col min="59" max="59" width="12.42578125" customWidth="1"/>
    <col min="60" max="60" width="7.42578125" customWidth="1"/>
    <col min="61" max="61" width="1.42578125" style="18" customWidth="1"/>
    <col min="62" max="62" width="15" customWidth="1"/>
    <col min="63" max="63" width="9" customWidth="1"/>
    <col min="64" max="64" width="1.85546875" style="18" customWidth="1"/>
    <col min="65" max="65" width="11.85546875" customWidth="1"/>
    <col min="66" max="66" width="7" customWidth="1"/>
    <col min="67" max="67" width="1.7109375" style="18" customWidth="1"/>
    <col min="68" max="68" width="15.28515625" customWidth="1"/>
    <col min="69" max="69" width="8.5703125" customWidth="1"/>
    <col min="70" max="70" width="1.28515625" style="18" customWidth="1"/>
    <col min="71" max="71" width="15.140625" customWidth="1"/>
    <col min="72" max="72" width="7.28515625" customWidth="1"/>
    <col min="73" max="73" width="1.28515625" style="18" customWidth="1"/>
    <col min="74" max="74" width="16.7109375" customWidth="1"/>
    <col min="75" max="75" width="7.5703125" customWidth="1"/>
    <col min="76" max="76" width="1.5703125" customWidth="1"/>
    <col min="77" max="77" width="14.7109375" customWidth="1"/>
    <col min="78" max="78" width="5.42578125" customWidth="1"/>
    <col min="79" max="79" width="1.7109375" style="18" customWidth="1"/>
    <col min="80" max="80" width="15.42578125" customWidth="1"/>
    <col min="81" max="81" width="6.5703125" customWidth="1"/>
    <col min="82" max="82" width="1.5703125" customWidth="1"/>
    <col min="83" max="83" width="12.42578125" customWidth="1"/>
    <col min="84" max="84" width="8.42578125" customWidth="1"/>
    <col min="85" max="85" width="1.28515625" customWidth="1"/>
    <col min="86" max="86" width="17.140625" customWidth="1"/>
    <col min="87" max="87" width="5.42578125" customWidth="1"/>
    <col min="88" max="88" width="1.42578125" customWidth="1"/>
    <col min="89" max="89" width="12.7109375" customWidth="1"/>
    <col min="90" max="90" width="7" customWidth="1"/>
    <col min="91" max="91" width="2" customWidth="1"/>
    <col min="92" max="92" width="14.140625" customWidth="1"/>
    <col min="93" max="93" width="6.42578125" customWidth="1"/>
    <col min="94" max="94" width="1.28515625" customWidth="1"/>
    <col min="95" max="95" width="15.85546875" customWidth="1"/>
    <col min="96" max="96" width="5.85546875" customWidth="1"/>
    <col min="97" max="97" width="1.140625" customWidth="1"/>
    <col min="98" max="98" width="16.85546875" customWidth="1"/>
    <col min="99" max="99" width="6.5703125" customWidth="1"/>
    <col min="100" max="100" width="1.28515625" customWidth="1"/>
    <col min="101" max="101" width="15.5703125" customWidth="1"/>
    <col min="102" max="102" width="7.42578125" customWidth="1"/>
    <col min="103" max="103" width="1.28515625" customWidth="1"/>
    <col min="104" max="104" width="13.28515625" customWidth="1"/>
    <col min="105" max="105" width="7" customWidth="1"/>
    <col min="106" max="106" width="1.7109375" customWidth="1"/>
    <col min="107" max="107" width="11.140625" customWidth="1"/>
    <col min="108" max="108" width="8.7109375" customWidth="1"/>
    <col min="109" max="109" width="11.7109375" customWidth="1"/>
    <col min="110" max="110" width="8.85546875" customWidth="1"/>
  </cols>
  <sheetData>
    <row r="1" spans="1:112" ht="17.25" customHeight="1" x14ac:dyDescent="0.25">
      <c r="A1" s="58"/>
      <c r="B1" s="58"/>
      <c r="C1" s="58"/>
      <c r="D1" s="58"/>
      <c r="E1" s="58"/>
      <c r="F1" s="58"/>
      <c r="G1" s="58"/>
      <c r="H1" s="58"/>
      <c r="I1" s="58"/>
      <c r="J1" s="58"/>
      <c r="K1" s="58"/>
      <c r="L1" s="58"/>
      <c r="M1" s="58"/>
      <c r="N1" s="58"/>
      <c r="P1" s="44"/>
      <c r="Q1" s="44"/>
      <c r="R1" s="200"/>
      <c r="S1" s="200"/>
      <c r="T1" s="200"/>
      <c r="U1" s="44"/>
      <c r="V1" s="44"/>
      <c r="W1" s="44"/>
      <c r="X1" s="200"/>
      <c r="Y1" s="200"/>
      <c r="Z1" s="44"/>
      <c r="AA1" s="44"/>
      <c r="AB1" s="44"/>
      <c r="AC1" s="44"/>
      <c r="AD1" s="44"/>
      <c r="AE1" s="44"/>
      <c r="AF1" s="44"/>
      <c r="AG1" s="44"/>
      <c r="AH1" s="44"/>
      <c r="AI1" s="44"/>
      <c r="AJ1" s="44"/>
      <c r="AK1" s="44"/>
      <c r="AL1" s="44"/>
      <c r="AM1" s="44"/>
      <c r="AN1" s="44"/>
      <c r="AO1" s="200"/>
      <c r="AP1" s="200"/>
      <c r="AQ1" s="44"/>
      <c r="AR1" s="44"/>
      <c r="AS1" s="44"/>
      <c r="AT1" s="44"/>
      <c r="AU1" s="44"/>
      <c r="AV1" s="44"/>
      <c r="AW1" s="44"/>
      <c r="AX1" s="44"/>
      <c r="AY1" s="44"/>
      <c r="AZ1" s="44"/>
      <c r="BA1" s="39"/>
      <c r="BB1" s="39"/>
      <c r="BC1" s="39"/>
      <c r="BD1" s="39"/>
      <c r="BE1" s="42"/>
      <c r="BF1" s="39"/>
      <c r="BG1" s="39"/>
      <c r="BH1" s="42"/>
      <c r="BI1" s="39"/>
      <c r="BJ1" s="39"/>
      <c r="BK1" s="42"/>
      <c r="BL1" s="39"/>
      <c r="BM1" s="39"/>
      <c r="BN1" s="42"/>
      <c r="BO1" s="39"/>
      <c r="BP1" s="39"/>
      <c r="BQ1" s="42"/>
      <c r="BR1" s="39"/>
      <c r="BS1" s="39"/>
      <c r="BT1" s="42"/>
      <c r="BU1" s="39"/>
      <c r="BV1" s="39"/>
      <c r="BW1" s="42"/>
      <c r="BX1" s="39"/>
      <c r="BY1" s="39"/>
      <c r="BZ1" s="42"/>
      <c r="CA1" s="39"/>
      <c r="CB1" s="39"/>
      <c r="CC1" s="39"/>
      <c r="CD1" s="39"/>
      <c r="CE1" s="39"/>
      <c r="CF1" s="42"/>
      <c r="CG1" s="39"/>
      <c r="CH1" s="39"/>
      <c r="CI1" s="39"/>
      <c r="CJ1" s="39"/>
      <c r="CK1" s="39"/>
      <c r="CL1" s="39"/>
      <c r="CM1" s="39"/>
      <c r="CN1" s="39"/>
      <c r="CO1" s="39"/>
      <c r="CP1" s="39"/>
      <c r="CQ1" s="39"/>
      <c r="CR1" s="39"/>
      <c r="CS1" s="39"/>
      <c r="CT1" s="39"/>
      <c r="CU1" s="39"/>
      <c r="CV1" s="39"/>
      <c r="CW1" s="39"/>
      <c r="CX1" s="39"/>
      <c r="CY1" s="39"/>
      <c r="CZ1" s="39"/>
      <c r="DA1" s="39"/>
      <c r="DB1" s="39"/>
      <c r="DC1" s="39"/>
      <c r="DD1" s="39"/>
      <c r="DE1" s="39"/>
      <c r="DF1" s="39"/>
      <c r="DG1" s="39"/>
      <c r="DH1" s="39"/>
    </row>
    <row r="2" spans="1:112" ht="33.75" customHeight="1" x14ac:dyDescent="0.5">
      <c r="A2" s="58"/>
      <c r="B2" s="67" t="s">
        <v>164</v>
      </c>
      <c r="C2" s="58"/>
      <c r="D2" s="58"/>
      <c r="E2" s="58"/>
      <c r="F2" s="58"/>
      <c r="G2" s="58"/>
      <c r="H2" s="58"/>
      <c r="I2" s="58"/>
      <c r="J2" s="58"/>
      <c r="K2" s="58"/>
      <c r="L2" s="58"/>
      <c r="M2" s="58"/>
      <c r="N2" s="58"/>
      <c r="O2" s="58"/>
      <c r="P2" s="44"/>
      <c r="Q2" s="149" t="s">
        <v>235</v>
      </c>
      <c r="R2" s="149"/>
      <c r="S2" s="149"/>
      <c r="T2" s="149"/>
      <c r="U2" s="44"/>
      <c r="V2" s="44"/>
      <c r="W2" s="44"/>
      <c r="X2" s="200"/>
      <c r="Y2" s="200"/>
      <c r="Z2" s="44"/>
      <c r="AA2" s="44"/>
      <c r="AB2" s="44"/>
      <c r="AC2" s="44"/>
      <c r="AD2" s="44"/>
      <c r="AE2" s="44"/>
      <c r="AF2" s="44"/>
      <c r="AG2" s="44"/>
      <c r="AH2" s="44"/>
      <c r="AI2" s="44"/>
      <c r="AJ2" s="44"/>
      <c r="AK2" s="44"/>
      <c r="AL2" s="44"/>
      <c r="AM2" s="44"/>
      <c r="AN2" s="44"/>
      <c r="AO2" s="200"/>
      <c r="AP2" s="200"/>
      <c r="AQ2" s="44"/>
      <c r="AR2" s="44"/>
      <c r="AS2" s="44"/>
      <c r="AT2" s="44"/>
      <c r="AU2" s="44"/>
      <c r="AV2" s="44"/>
      <c r="AW2" s="44"/>
      <c r="AX2" s="44"/>
      <c r="AY2" s="44"/>
      <c r="AZ2" s="44"/>
      <c r="BA2" s="39"/>
      <c r="BB2" s="187" t="s">
        <v>252</v>
      </c>
      <c r="BC2" s="39"/>
      <c r="BD2" s="39"/>
      <c r="BE2" s="40"/>
      <c r="BF2" s="39"/>
      <c r="BG2" s="39"/>
      <c r="BH2" s="40"/>
      <c r="BI2" s="39"/>
      <c r="BJ2" s="39"/>
      <c r="BK2" s="40"/>
      <c r="BL2" s="39"/>
      <c r="BM2" s="39"/>
      <c r="BN2" s="40"/>
      <c r="BO2" s="39"/>
      <c r="BP2" s="39"/>
      <c r="BQ2" s="40"/>
      <c r="BR2" s="39"/>
      <c r="BS2" s="39"/>
      <c r="BT2" s="40"/>
      <c r="BU2" s="39"/>
      <c r="BV2" s="39"/>
      <c r="BW2" s="40"/>
      <c r="BX2" s="39"/>
      <c r="BY2" s="39"/>
      <c r="BZ2" s="40"/>
      <c r="CA2" s="39"/>
      <c r="CB2" s="39"/>
      <c r="CC2" s="39"/>
      <c r="CD2" s="39"/>
      <c r="CE2" s="39"/>
      <c r="CF2" s="40"/>
      <c r="CG2" s="39"/>
      <c r="CH2" s="39"/>
      <c r="CI2" s="39"/>
      <c r="CJ2" s="39"/>
      <c r="CK2" s="39"/>
      <c r="CL2" s="39"/>
      <c r="CM2" s="39"/>
      <c r="CN2" s="39"/>
      <c r="CO2" s="39"/>
      <c r="CP2" s="39"/>
      <c r="CQ2" s="39"/>
      <c r="CR2" s="39"/>
      <c r="CS2" s="39"/>
      <c r="CT2" s="39"/>
      <c r="CU2" s="39"/>
      <c r="CV2" s="39"/>
      <c r="CW2" s="39"/>
      <c r="CX2" s="39"/>
      <c r="CY2" s="39"/>
      <c r="CZ2" s="39"/>
      <c r="DA2" s="39"/>
      <c r="DB2" s="39"/>
      <c r="DC2" s="39"/>
      <c r="DD2" s="39"/>
      <c r="DE2" s="39"/>
      <c r="DF2" s="39"/>
      <c r="DG2" s="39"/>
      <c r="DH2" s="39"/>
    </row>
    <row r="3" spans="1:112" ht="31.5" x14ac:dyDescent="0.5">
      <c r="A3" s="58"/>
      <c r="B3" s="67" t="s">
        <v>414</v>
      </c>
      <c r="C3" s="58"/>
      <c r="D3" s="58"/>
      <c r="E3" s="58"/>
      <c r="F3" s="58"/>
      <c r="G3" s="58"/>
      <c r="H3" s="58"/>
      <c r="I3" s="58"/>
      <c r="J3" s="58"/>
      <c r="K3" s="58"/>
      <c r="L3" s="58"/>
      <c r="M3" s="58"/>
      <c r="N3" s="58"/>
      <c r="O3" s="58"/>
      <c r="P3" s="44"/>
      <c r="Q3" s="149"/>
      <c r="R3" s="149"/>
      <c r="S3" s="149"/>
      <c r="T3" s="149"/>
      <c r="U3" s="45"/>
      <c r="V3" s="46"/>
      <c r="W3" s="45"/>
      <c r="X3" s="201"/>
      <c r="Y3" s="201"/>
      <c r="Z3" s="45" t="s">
        <v>331</v>
      </c>
      <c r="AA3" s="45"/>
      <c r="AB3" s="44"/>
      <c r="AC3" s="44"/>
      <c r="AD3" s="44"/>
      <c r="AE3" s="44"/>
      <c r="AF3" s="44"/>
      <c r="AG3" s="44"/>
      <c r="AH3" s="44"/>
      <c r="AI3" s="44"/>
      <c r="AJ3" s="44"/>
      <c r="AK3" s="44"/>
      <c r="AL3" s="44"/>
      <c r="AM3" s="44"/>
      <c r="AN3" s="44"/>
      <c r="AO3" s="200"/>
      <c r="AP3" s="200"/>
      <c r="AQ3" s="44"/>
      <c r="AR3" s="44"/>
      <c r="AS3" s="44"/>
      <c r="AT3" s="44"/>
      <c r="AU3" s="44"/>
      <c r="AV3" s="44"/>
      <c r="AW3" s="44"/>
      <c r="AX3" s="44"/>
      <c r="AY3" s="45"/>
      <c r="AZ3" s="44"/>
      <c r="BA3" s="41"/>
      <c r="BB3" s="56"/>
      <c r="BC3" s="102"/>
      <c r="BD3" s="93" t="s">
        <v>81</v>
      </c>
      <c r="BE3" s="103"/>
      <c r="BF3" s="39"/>
      <c r="BG3" s="476" t="s">
        <v>47</v>
      </c>
      <c r="BH3" s="476"/>
      <c r="BI3" s="39"/>
      <c r="BJ3" s="474" t="s">
        <v>82</v>
      </c>
      <c r="BK3" s="475"/>
      <c r="BL3" s="39"/>
      <c r="BM3" s="476" t="s">
        <v>55</v>
      </c>
      <c r="BN3" s="476"/>
      <c r="BO3" s="39"/>
      <c r="BP3" s="474" t="s">
        <v>84</v>
      </c>
      <c r="BQ3" s="475"/>
      <c r="BR3" s="39"/>
      <c r="BS3" s="476" t="s">
        <v>88</v>
      </c>
      <c r="BT3" s="476"/>
      <c r="BU3" s="39"/>
      <c r="BV3" s="474" t="s">
        <v>91</v>
      </c>
      <c r="BW3" s="475"/>
      <c r="BX3" s="39"/>
      <c r="BY3" s="476" t="s">
        <v>66</v>
      </c>
      <c r="BZ3" s="476"/>
      <c r="CA3" s="39"/>
      <c r="CB3" s="474" t="s">
        <v>93</v>
      </c>
      <c r="CC3" s="475"/>
      <c r="CD3" s="39"/>
      <c r="CE3" s="476" t="s">
        <v>96</v>
      </c>
      <c r="CF3" s="476"/>
      <c r="CG3" s="39"/>
      <c r="CH3" s="474" t="s">
        <v>97</v>
      </c>
      <c r="CI3" s="475"/>
      <c r="CJ3" s="39"/>
      <c r="CK3" s="476" t="s">
        <v>99</v>
      </c>
      <c r="CL3" s="476"/>
      <c r="CM3" s="39"/>
      <c r="CN3" s="474" t="s">
        <v>101</v>
      </c>
      <c r="CO3" s="475"/>
      <c r="CP3" s="39"/>
      <c r="CQ3" s="476" t="s">
        <v>105</v>
      </c>
      <c r="CR3" s="476"/>
      <c r="CS3" s="39"/>
      <c r="CT3" s="474" t="s">
        <v>108</v>
      </c>
      <c r="CU3" s="475"/>
      <c r="CV3" s="39"/>
      <c r="CW3" s="476" t="s">
        <v>111</v>
      </c>
      <c r="CX3" s="476"/>
      <c r="CY3" s="39"/>
      <c r="CZ3" s="474" t="s">
        <v>113</v>
      </c>
      <c r="DA3" s="475"/>
      <c r="DB3" s="39"/>
      <c r="DC3" s="476" t="s">
        <v>116</v>
      </c>
      <c r="DD3" s="476"/>
      <c r="DE3" s="474" t="s">
        <v>77</v>
      </c>
      <c r="DF3" s="475"/>
      <c r="DG3" s="56" t="s">
        <v>252</v>
      </c>
      <c r="DH3" s="40"/>
    </row>
    <row r="4" spans="1:112" ht="23.25" customHeight="1" x14ac:dyDescent="0.25">
      <c r="A4" s="58"/>
      <c r="B4" s="58"/>
      <c r="C4" s="58"/>
      <c r="D4" s="58"/>
      <c r="E4" s="58"/>
      <c r="F4" s="58"/>
      <c r="G4" s="58"/>
      <c r="H4" s="58"/>
      <c r="I4" s="58"/>
      <c r="J4" s="58"/>
      <c r="K4" s="58"/>
      <c r="L4" s="58"/>
      <c r="M4" s="58"/>
      <c r="N4" s="58"/>
      <c r="O4" s="58"/>
      <c r="P4" s="44"/>
      <c r="Q4" s="152"/>
      <c r="R4" s="152"/>
      <c r="S4" s="152" t="s">
        <v>332</v>
      </c>
      <c r="T4" s="152"/>
      <c r="U4" s="186">
        <v>28</v>
      </c>
      <c r="V4" s="473" t="s">
        <v>256</v>
      </c>
      <c r="W4" s="473"/>
      <c r="X4" s="214" t="s">
        <v>352</v>
      </c>
      <c r="Y4" s="200"/>
      <c r="Z4" s="98" t="s">
        <v>287</v>
      </c>
      <c r="AA4" s="151"/>
      <c r="AB4" s="99" t="s">
        <v>302</v>
      </c>
      <c r="AC4" s="44"/>
      <c r="AD4" s="98"/>
      <c r="AE4" s="44"/>
      <c r="AF4" s="99" t="s">
        <v>298</v>
      </c>
      <c r="AG4" s="44"/>
      <c r="AH4" s="98" t="s">
        <v>300</v>
      </c>
      <c r="AI4" s="44"/>
      <c r="AJ4" s="99" t="s">
        <v>301</v>
      </c>
      <c r="AK4" s="44"/>
      <c r="AL4" s="98"/>
      <c r="AM4" s="44"/>
      <c r="AN4" s="214" t="s">
        <v>227</v>
      </c>
      <c r="AO4" s="242"/>
      <c r="AP4" s="214" t="s">
        <v>227</v>
      </c>
      <c r="AQ4" s="44"/>
      <c r="AR4" s="98"/>
      <c r="AS4" s="44"/>
      <c r="AT4" s="99"/>
      <c r="AU4" s="44"/>
      <c r="AV4" s="98"/>
      <c r="AW4" s="44"/>
      <c r="AX4" s="99"/>
      <c r="AY4" s="44"/>
      <c r="AZ4" s="44"/>
      <c r="BA4" s="39"/>
      <c r="BB4" s="39"/>
      <c r="BC4" s="102"/>
      <c r="BD4" s="93" t="s">
        <v>80</v>
      </c>
      <c r="BE4" s="103"/>
      <c r="BF4" s="39"/>
      <c r="BG4" s="39"/>
      <c r="BH4" s="40"/>
      <c r="BI4" s="39"/>
      <c r="BJ4" s="474" t="s">
        <v>51</v>
      </c>
      <c r="BK4" s="475"/>
      <c r="BL4" s="39"/>
      <c r="BM4" s="39"/>
      <c r="BN4" s="40"/>
      <c r="BO4" s="39"/>
      <c r="BP4" s="474" t="s">
        <v>83</v>
      </c>
      <c r="BQ4" s="475"/>
      <c r="BR4" s="39"/>
      <c r="BS4" s="476" t="s">
        <v>85</v>
      </c>
      <c r="BT4" s="476"/>
      <c r="BU4" s="39"/>
      <c r="BV4" s="474" t="s">
        <v>90</v>
      </c>
      <c r="BW4" s="475"/>
      <c r="BX4" s="39"/>
      <c r="BY4" s="39"/>
      <c r="BZ4" s="40"/>
      <c r="CA4" s="39"/>
      <c r="CB4" s="474" t="s">
        <v>92</v>
      </c>
      <c r="CC4" s="475"/>
      <c r="CD4" s="39"/>
      <c r="CE4" s="476" t="s">
        <v>95</v>
      </c>
      <c r="CF4" s="476"/>
      <c r="CG4" s="39"/>
      <c r="CH4" s="474" t="s">
        <v>98</v>
      </c>
      <c r="CI4" s="475"/>
      <c r="CJ4" s="39"/>
      <c r="CK4" s="476" t="s">
        <v>100</v>
      </c>
      <c r="CL4" s="476"/>
      <c r="CM4" s="39"/>
      <c r="CN4" s="474" t="s">
        <v>102</v>
      </c>
      <c r="CO4" s="475"/>
      <c r="CP4" s="39"/>
      <c r="CQ4" s="476" t="s">
        <v>104</v>
      </c>
      <c r="CR4" s="476"/>
      <c r="CS4" s="39"/>
      <c r="CT4" s="474" t="s">
        <v>106</v>
      </c>
      <c r="CU4" s="475"/>
      <c r="CV4" s="39"/>
      <c r="CW4" s="476" t="s">
        <v>109</v>
      </c>
      <c r="CX4" s="476"/>
      <c r="CY4" s="39"/>
      <c r="CZ4" s="474" t="s">
        <v>112</v>
      </c>
      <c r="DA4" s="475"/>
      <c r="DB4" s="39"/>
      <c r="DC4" s="476" t="s">
        <v>115</v>
      </c>
      <c r="DD4" s="476"/>
      <c r="DE4" s="102"/>
      <c r="DF4" s="104"/>
      <c r="DG4" s="39"/>
      <c r="DH4" s="39"/>
    </row>
    <row r="5" spans="1:112" x14ac:dyDescent="0.25">
      <c r="A5" s="58"/>
      <c r="B5" s="58"/>
      <c r="C5" s="58"/>
      <c r="D5" s="58"/>
      <c r="E5" s="58"/>
      <c r="F5" s="58"/>
      <c r="G5" s="58"/>
      <c r="H5" s="58"/>
      <c r="I5" s="58"/>
      <c r="J5" s="58"/>
      <c r="K5" s="58"/>
      <c r="L5" s="58"/>
      <c r="M5" s="58"/>
      <c r="N5" s="58"/>
      <c r="O5" s="58"/>
      <c r="P5" s="44"/>
      <c r="Q5" s="151"/>
      <c r="R5" s="151"/>
      <c r="S5" s="155" t="s">
        <v>333</v>
      </c>
      <c r="T5" s="151"/>
      <c r="U5" s="153">
        <f>U4-X8-Z8</f>
        <v>28</v>
      </c>
      <c r="V5" s="471" t="s">
        <v>256</v>
      </c>
      <c r="W5" s="471"/>
      <c r="X5" s="215" t="s">
        <v>353</v>
      </c>
      <c r="Y5" s="200"/>
      <c r="Z5" s="95" t="s">
        <v>288</v>
      </c>
      <c r="AA5" s="151"/>
      <c r="AB5" s="100" t="s">
        <v>299</v>
      </c>
      <c r="AC5" s="44"/>
      <c r="AD5" s="95" t="s">
        <v>145</v>
      </c>
      <c r="AE5" s="44"/>
      <c r="AF5" s="100" t="s">
        <v>299</v>
      </c>
      <c r="AG5" s="44"/>
      <c r="AH5" s="95" t="s">
        <v>299</v>
      </c>
      <c r="AI5" s="44"/>
      <c r="AJ5" s="100" t="s">
        <v>299</v>
      </c>
      <c r="AK5" s="44"/>
      <c r="AL5" s="95" t="s">
        <v>226</v>
      </c>
      <c r="AM5" s="44"/>
      <c r="AN5" s="100" t="s">
        <v>383</v>
      </c>
      <c r="AO5" s="242"/>
      <c r="AP5" s="243" t="s">
        <v>377</v>
      </c>
      <c r="AQ5" s="44"/>
      <c r="AR5" s="95" t="s">
        <v>228</v>
      </c>
      <c r="AS5" s="44"/>
      <c r="AT5" s="100" t="s">
        <v>229</v>
      </c>
      <c r="AU5" s="44"/>
      <c r="AV5" s="95" t="s">
        <v>230</v>
      </c>
      <c r="AW5" s="44"/>
      <c r="AX5" s="100" t="s">
        <v>231</v>
      </c>
      <c r="AY5" s="44"/>
      <c r="AZ5" s="44"/>
      <c r="BA5" s="39"/>
      <c r="BB5" s="39"/>
      <c r="BC5" s="102"/>
      <c r="BD5" s="93" t="s">
        <v>79</v>
      </c>
      <c r="BE5" s="103"/>
      <c r="BF5" s="39"/>
      <c r="BG5" s="39"/>
      <c r="BH5" s="40"/>
      <c r="BI5" s="39"/>
      <c r="BJ5" s="102"/>
      <c r="BK5" s="103"/>
      <c r="BL5" s="39"/>
      <c r="BM5" s="39"/>
      <c r="BN5" s="40"/>
      <c r="BO5" s="39"/>
      <c r="BP5" s="102"/>
      <c r="BQ5" s="103"/>
      <c r="BR5" s="39"/>
      <c r="BS5" s="476" t="s">
        <v>86</v>
      </c>
      <c r="BT5" s="476"/>
      <c r="BU5" s="39"/>
      <c r="BV5" s="474" t="s">
        <v>89</v>
      </c>
      <c r="BW5" s="475"/>
      <c r="BX5" s="39"/>
      <c r="BY5" s="39"/>
      <c r="BZ5" s="40"/>
      <c r="CA5" s="39"/>
      <c r="CB5" s="102"/>
      <c r="CC5" s="104"/>
      <c r="CD5" s="39"/>
      <c r="CE5" s="476" t="s">
        <v>94</v>
      </c>
      <c r="CF5" s="476"/>
      <c r="CG5" s="39"/>
      <c r="CH5" s="102"/>
      <c r="CI5" s="104"/>
      <c r="CJ5" s="39"/>
      <c r="CK5" s="39"/>
      <c r="CL5" s="39"/>
      <c r="CM5" s="39"/>
      <c r="CN5" s="474" t="s">
        <v>103</v>
      </c>
      <c r="CO5" s="475"/>
      <c r="CP5" s="39"/>
      <c r="CQ5" s="39"/>
      <c r="CR5" s="39"/>
      <c r="CS5" s="39"/>
      <c r="CT5" s="474" t="s">
        <v>107</v>
      </c>
      <c r="CU5" s="475"/>
      <c r="CV5" s="39"/>
      <c r="CW5" s="476" t="s">
        <v>110</v>
      </c>
      <c r="CX5" s="476"/>
      <c r="CY5" s="39"/>
      <c r="CZ5" s="474" t="s">
        <v>114</v>
      </c>
      <c r="DA5" s="475"/>
      <c r="DB5" s="39"/>
      <c r="DC5" s="476" t="s">
        <v>117</v>
      </c>
      <c r="DD5" s="476"/>
      <c r="DE5" s="102"/>
      <c r="DF5" s="104"/>
      <c r="DG5" s="39"/>
      <c r="DH5" s="39"/>
    </row>
    <row r="6" spans="1:112" ht="15.75" x14ac:dyDescent="0.25">
      <c r="A6" s="58"/>
      <c r="B6" s="58"/>
      <c r="C6" s="58"/>
      <c r="D6" s="58"/>
      <c r="E6" s="58"/>
      <c r="F6" s="58"/>
      <c r="G6" s="58"/>
      <c r="H6" s="58"/>
      <c r="I6" s="58"/>
      <c r="J6" s="58"/>
      <c r="K6" s="58"/>
      <c r="L6" s="58"/>
      <c r="M6" s="58"/>
      <c r="N6" s="58"/>
      <c r="O6" s="58"/>
      <c r="P6" s="44"/>
      <c r="Q6" s="44"/>
      <c r="R6" s="200"/>
      <c r="S6" s="200"/>
      <c r="T6" s="200"/>
      <c r="U6" s="44"/>
      <c r="V6" s="472"/>
      <c r="W6" s="472"/>
      <c r="X6" s="215" t="s">
        <v>286</v>
      </c>
      <c r="Y6" s="203"/>
      <c r="Z6" s="95" t="s">
        <v>286</v>
      </c>
      <c r="AA6" s="160"/>
      <c r="AB6" s="171" t="s">
        <v>124</v>
      </c>
      <c r="AC6" s="47"/>
      <c r="AD6" s="95" t="s">
        <v>146</v>
      </c>
      <c r="AE6" s="47"/>
      <c r="AF6" s="171" t="s">
        <v>146</v>
      </c>
      <c r="AG6" s="47"/>
      <c r="AH6" s="171" t="s">
        <v>124</v>
      </c>
      <c r="AI6" s="47"/>
      <c r="AJ6" s="171" t="s">
        <v>146</v>
      </c>
      <c r="AK6" s="47"/>
      <c r="AL6" s="95" t="s">
        <v>146</v>
      </c>
      <c r="AM6" s="47"/>
      <c r="AN6" s="100" t="s">
        <v>146</v>
      </c>
      <c r="AO6" s="242"/>
      <c r="AP6" s="171" t="s">
        <v>124</v>
      </c>
      <c r="AQ6" s="47"/>
      <c r="AR6" s="95" t="s">
        <v>146</v>
      </c>
      <c r="AS6" s="47"/>
      <c r="AT6" s="100" t="s">
        <v>146</v>
      </c>
      <c r="AU6" s="47"/>
      <c r="AV6" s="95" t="s">
        <v>146</v>
      </c>
      <c r="AW6" s="47"/>
      <c r="AX6" s="100" t="s">
        <v>146</v>
      </c>
      <c r="AY6" s="44"/>
      <c r="AZ6" s="44"/>
      <c r="BA6" s="39"/>
      <c r="BB6" s="39"/>
      <c r="BC6" s="102"/>
      <c r="BD6" s="93"/>
      <c r="BE6" s="103"/>
      <c r="BF6" s="39"/>
      <c r="BG6" s="39"/>
      <c r="BH6" s="40"/>
      <c r="BI6" s="39"/>
      <c r="BJ6" s="102"/>
      <c r="BK6" s="103"/>
      <c r="BL6" s="39"/>
      <c r="BM6" s="39"/>
      <c r="BN6" s="40"/>
      <c r="BO6" s="39"/>
      <c r="BP6" s="102"/>
      <c r="BQ6" s="103"/>
      <c r="BR6" s="39"/>
      <c r="BS6" s="476" t="s">
        <v>87</v>
      </c>
      <c r="BT6" s="476"/>
      <c r="BU6" s="39"/>
      <c r="BV6" s="102"/>
      <c r="BW6" s="103"/>
      <c r="BX6" s="39"/>
      <c r="BY6" s="39"/>
      <c r="BZ6" s="40"/>
      <c r="CA6" s="39"/>
      <c r="CB6" s="102"/>
      <c r="CC6" s="104"/>
      <c r="CD6" s="39"/>
      <c r="CE6" s="39"/>
      <c r="CF6" s="40"/>
      <c r="CG6" s="39"/>
      <c r="CH6" s="102"/>
      <c r="CI6" s="104"/>
      <c r="CJ6" s="39"/>
      <c r="CK6" s="39"/>
      <c r="CL6" s="39"/>
      <c r="CM6" s="39"/>
      <c r="CN6" s="102"/>
      <c r="CO6" s="104"/>
      <c r="CP6" s="39"/>
      <c r="CQ6" s="39"/>
      <c r="CR6" s="39"/>
      <c r="CS6" s="39"/>
      <c r="CT6" s="102"/>
      <c r="CU6" s="104"/>
      <c r="CV6" s="39"/>
      <c r="CW6" s="39"/>
      <c r="CX6" s="39"/>
      <c r="CY6" s="39"/>
      <c r="CZ6" s="102"/>
      <c r="DA6" s="104"/>
      <c r="DB6" s="39"/>
      <c r="DC6" s="39"/>
      <c r="DD6" s="39"/>
      <c r="DE6" s="102"/>
      <c r="DF6" s="104"/>
      <c r="DG6" s="39"/>
      <c r="DH6" s="39"/>
    </row>
    <row r="7" spans="1:112" ht="8.25" customHeight="1" x14ac:dyDescent="0.25">
      <c r="A7" s="58"/>
      <c r="B7" s="58"/>
      <c r="C7" s="58"/>
      <c r="D7" s="58"/>
      <c r="E7" s="58"/>
      <c r="F7" s="58"/>
      <c r="G7" s="58"/>
      <c r="H7" s="58"/>
      <c r="I7" s="58"/>
      <c r="J7" s="58"/>
      <c r="K7" s="58"/>
      <c r="L7" s="58"/>
      <c r="M7" s="58"/>
      <c r="N7" s="58"/>
      <c r="O7" s="58"/>
      <c r="P7" s="44"/>
      <c r="Q7" s="44"/>
      <c r="R7" s="200"/>
      <c r="S7" s="200"/>
      <c r="T7" s="200"/>
      <c r="U7" s="44"/>
      <c r="V7" s="147"/>
      <c r="W7" s="147"/>
      <c r="X7" s="190"/>
      <c r="Y7" s="200"/>
      <c r="Z7" s="189"/>
      <c r="AA7" s="151"/>
      <c r="AB7" s="190"/>
      <c r="AC7" s="44"/>
      <c r="AD7" s="189"/>
      <c r="AE7" s="44"/>
      <c r="AF7" s="190"/>
      <c r="AG7" s="44"/>
      <c r="AH7" s="189"/>
      <c r="AI7" s="44"/>
      <c r="AJ7" s="190"/>
      <c r="AK7" s="44"/>
      <c r="AL7" s="189"/>
      <c r="AM7" s="44"/>
      <c r="AN7" s="190"/>
      <c r="AO7" s="242"/>
      <c r="AP7" s="242"/>
      <c r="AQ7" s="44"/>
      <c r="AR7" s="189"/>
      <c r="AS7" s="44"/>
      <c r="AT7" s="190"/>
      <c r="AU7" s="44"/>
      <c r="AV7" s="189"/>
      <c r="AW7" s="44"/>
      <c r="AX7" s="190"/>
      <c r="AY7" s="44"/>
      <c r="AZ7" s="44"/>
      <c r="BA7" s="161"/>
      <c r="BB7" s="161"/>
      <c r="BC7" s="162"/>
      <c r="BD7" s="163"/>
      <c r="BE7" s="164"/>
      <c r="BF7" s="161"/>
      <c r="BG7" s="161"/>
      <c r="BH7" s="165"/>
      <c r="BI7" s="161"/>
      <c r="BJ7" s="162"/>
      <c r="BK7" s="164"/>
      <c r="BL7" s="161"/>
      <c r="BM7" s="161"/>
      <c r="BN7" s="165"/>
      <c r="BO7" s="161"/>
      <c r="BP7" s="162"/>
      <c r="BQ7" s="164"/>
      <c r="BR7" s="161"/>
      <c r="BS7" s="161"/>
      <c r="BT7" s="165"/>
      <c r="BU7" s="161"/>
      <c r="BV7" s="162"/>
      <c r="BW7" s="164"/>
      <c r="BX7" s="161"/>
      <c r="BY7" s="161"/>
      <c r="BZ7" s="165"/>
      <c r="CA7" s="161"/>
      <c r="CB7" s="162"/>
      <c r="CC7" s="166"/>
      <c r="CD7" s="161"/>
      <c r="CE7" s="161"/>
      <c r="CF7" s="165"/>
      <c r="CG7" s="161"/>
      <c r="CH7" s="162"/>
      <c r="CI7" s="166"/>
      <c r="CJ7" s="161"/>
      <c r="CK7" s="161"/>
      <c r="CL7" s="161"/>
      <c r="CM7" s="161"/>
      <c r="CN7" s="162"/>
      <c r="CO7" s="166"/>
      <c r="CP7" s="161"/>
      <c r="CQ7" s="161"/>
      <c r="CR7" s="161"/>
      <c r="CS7" s="161"/>
      <c r="CT7" s="162"/>
      <c r="CU7" s="166"/>
      <c r="CV7" s="161"/>
      <c r="CW7" s="161"/>
      <c r="CX7" s="161"/>
      <c r="CY7" s="161"/>
      <c r="CZ7" s="162"/>
      <c r="DA7" s="166"/>
      <c r="DB7" s="161"/>
      <c r="DC7" s="161"/>
      <c r="DD7" s="161"/>
      <c r="DE7" s="162"/>
      <c r="DF7" s="166"/>
      <c r="DG7" s="161"/>
      <c r="DH7" s="161"/>
    </row>
    <row r="8" spans="1:112" ht="21.75" customHeight="1" x14ac:dyDescent="0.3">
      <c r="A8" s="58"/>
      <c r="B8" s="59" t="s">
        <v>165</v>
      </c>
      <c r="C8" s="58"/>
      <c r="D8" s="58"/>
      <c r="E8" s="58"/>
      <c r="F8" s="58"/>
      <c r="G8" s="58"/>
      <c r="H8" s="58"/>
      <c r="I8" s="58"/>
      <c r="J8" s="58"/>
      <c r="K8" s="58"/>
      <c r="L8" s="58"/>
      <c r="M8" s="58"/>
      <c r="N8" s="58"/>
      <c r="O8" s="58"/>
      <c r="P8" s="44"/>
      <c r="Q8" s="44"/>
      <c r="R8" s="200"/>
      <c r="S8" s="200"/>
      <c r="T8" s="200"/>
      <c r="U8" s="44"/>
      <c r="V8" s="154" t="s">
        <v>330</v>
      </c>
      <c r="W8" s="82"/>
      <c r="X8" s="171">
        <v>0</v>
      </c>
      <c r="Y8" s="200"/>
      <c r="Z8" s="171">
        <v>0</v>
      </c>
      <c r="AA8" s="151"/>
      <c r="AB8" s="171">
        <v>0</v>
      </c>
      <c r="AC8" s="44"/>
      <c r="AD8" s="171">
        <v>0</v>
      </c>
      <c r="AE8" s="44"/>
      <c r="AF8" s="171">
        <v>0</v>
      </c>
      <c r="AG8" s="44"/>
      <c r="AH8" s="171">
        <v>0</v>
      </c>
      <c r="AI8" s="44"/>
      <c r="AJ8" s="171">
        <v>0</v>
      </c>
      <c r="AK8" s="44"/>
      <c r="AL8" s="171">
        <v>0</v>
      </c>
      <c r="AM8" s="44"/>
      <c r="AN8" s="171">
        <v>0</v>
      </c>
      <c r="AO8" s="242"/>
      <c r="AP8" s="171">
        <v>0</v>
      </c>
      <c r="AQ8" s="44"/>
      <c r="AR8" s="171">
        <v>0</v>
      </c>
      <c r="AS8" s="44"/>
      <c r="AT8" s="171">
        <v>0</v>
      </c>
      <c r="AU8" s="44"/>
      <c r="AV8" s="171">
        <v>0</v>
      </c>
      <c r="AW8" s="44"/>
      <c r="AX8" s="171">
        <v>0</v>
      </c>
      <c r="AY8" s="44"/>
      <c r="AZ8" s="44"/>
      <c r="BA8" s="161"/>
      <c r="BB8" s="161"/>
      <c r="BC8" s="162"/>
      <c r="BD8" s="163"/>
      <c r="BE8" s="164"/>
      <c r="BF8" s="161"/>
      <c r="BG8" s="161"/>
      <c r="BH8" s="165"/>
      <c r="BI8" s="161"/>
      <c r="BJ8" s="162"/>
      <c r="BK8" s="164"/>
      <c r="BL8" s="161"/>
      <c r="BM8" s="161"/>
      <c r="BN8" s="165"/>
      <c r="BO8" s="161"/>
      <c r="BP8" s="162"/>
      <c r="BQ8" s="164"/>
      <c r="BR8" s="161"/>
      <c r="BS8" s="161"/>
      <c r="BT8" s="165"/>
      <c r="BU8" s="161"/>
      <c r="BV8" s="162"/>
      <c r="BW8" s="164"/>
      <c r="BX8" s="161"/>
      <c r="BY8" s="161"/>
      <c r="BZ8" s="165"/>
      <c r="CA8" s="161"/>
      <c r="CB8" s="162"/>
      <c r="CC8" s="166"/>
      <c r="CD8" s="161"/>
      <c r="CE8" s="161"/>
      <c r="CF8" s="165"/>
      <c r="CG8" s="161"/>
      <c r="CH8" s="162"/>
      <c r="CI8" s="166"/>
      <c r="CJ8" s="161"/>
      <c r="CK8" s="161"/>
      <c r="CL8" s="161"/>
      <c r="CM8" s="161"/>
      <c r="CN8" s="162"/>
      <c r="CO8" s="166"/>
      <c r="CP8" s="161"/>
      <c r="CQ8" s="161"/>
      <c r="CR8" s="161"/>
      <c r="CS8" s="161"/>
      <c r="CT8" s="162"/>
      <c r="CU8" s="166"/>
      <c r="CV8" s="161"/>
      <c r="CW8" s="161"/>
      <c r="CX8" s="161"/>
      <c r="CY8" s="161"/>
      <c r="CZ8" s="162"/>
      <c r="DA8" s="166"/>
      <c r="DB8" s="161"/>
      <c r="DC8" s="161"/>
      <c r="DD8" s="161"/>
      <c r="DE8" s="162"/>
      <c r="DF8" s="166"/>
      <c r="DG8" s="161"/>
      <c r="DH8" s="161"/>
    </row>
    <row r="9" spans="1:112" x14ac:dyDescent="0.25">
      <c r="A9" s="58"/>
      <c r="B9" s="58"/>
      <c r="C9" s="58"/>
      <c r="D9" s="58"/>
      <c r="E9" s="58"/>
      <c r="F9" s="58"/>
      <c r="G9" s="58"/>
      <c r="H9" s="58"/>
      <c r="I9" s="58"/>
      <c r="J9" s="58"/>
      <c r="K9" s="58"/>
      <c r="L9" s="58"/>
      <c r="M9" s="58"/>
      <c r="N9" s="58"/>
      <c r="O9" s="58"/>
      <c r="P9" s="44"/>
      <c r="Q9" s="44"/>
      <c r="R9" s="200"/>
      <c r="S9" s="200"/>
      <c r="T9" s="200"/>
      <c r="U9" s="44"/>
      <c r="V9" s="151"/>
      <c r="W9" s="155"/>
      <c r="X9" s="150" t="s">
        <v>438</v>
      </c>
      <c r="Y9" s="155"/>
      <c r="Z9" s="151"/>
      <c r="AA9" s="151"/>
      <c r="AB9" s="150">
        <v>80</v>
      </c>
      <c r="AC9" s="151" t="s">
        <v>289</v>
      </c>
      <c r="AD9" s="151"/>
      <c r="AE9" s="44"/>
      <c r="AF9" s="150">
        <v>10</v>
      </c>
      <c r="AG9" s="151" t="s">
        <v>289</v>
      </c>
      <c r="AH9" s="150">
        <v>10</v>
      </c>
      <c r="AI9" s="151" t="s">
        <v>289</v>
      </c>
      <c r="AJ9" s="150">
        <v>10</v>
      </c>
      <c r="AK9" s="151" t="s">
        <v>289</v>
      </c>
      <c r="AL9" s="151"/>
      <c r="AM9" s="44"/>
      <c r="AN9" s="151"/>
      <c r="AO9" s="151"/>
      <c r="AP9" s="153">
        <v>33</v>
      </c>
      <c r="AQ9" s="44" t="s">
        <v>289</v>
      </c>
      <c r="AR9" s="151"/>
      <c r="AS9" s="44"/>
      <c r="AT9" s="151"/>
      <c r="AU9" s="44"/>
      <c r="AV9" s="151"/>
      <c r="AW9" s="151"/>
      <c r="AX9" s="151"/>
      <c r="AY9" s="50"/>
      <c r="AZ9" s="44"/>
      <c r="BA9" s="161"/>
      <c r="BB9" s="167" t="s">
        <v>35</v>
      </c>
      <c r="BC9" s="162"/>
      <c r="BD9" s="192" t="s">
        <v>42</v>
      </c>
      <c r="BE9" s="164"/>
      <c r="BF9" s="165"/>
      <c r="BG9" s="165" t="s">
        <v>48</v>
      </c>
      <c r="BH9" s="165"/>
      <c r="BI9" s="165"/>
      <c r="BJ9" s="191" t="s">
        <v>48</v>
      </c>
      <c r="BK9" s="164"/>
      <c r="BL9" s="165"/>
      <c r="BM9" s="165" t="s">
        <v>48</v>
      </c>
      <c r="BN9" s="165"/>
      <c r="BO9" s="165"/>
      <c r="BP9" s="191" t="s">
        <v>42</v>
      </c>
      <c r="BQ9" s="164"/>
      <c r="BR9" s="165"/>
      <c r="BS9" s="165" t="s">
        <v>42</v>
      </c>
      <c r="BT9" s="165"/>
      <c r="BU9" s="165"/>
      <c r="BV9" s="254" t="s">
        <v>63</v>
      </c>
      <c r="BW9" s="164"/>
      <c r="BX9" s="165"/>
      <c r="BY9" s="165" t="s">
        <v>42</v>
      </c>
      <c r="BZ9" s="165"/>
      <c r="CA9" s="165"/>
      <c r="CB9" s="254" t="s">
        <v>68</v>
      </c>
      <c r="CC9" s="164"/>
      <c r="CD9" s="165"/>
      <c r="CE9" s="165" t="s">
        <v>42</v>
      </c>
      <c r="CF9" s="165"/>
      <c r="CG9" s="165"/>
      <c r="CH9" s="254" t="s">
        <v>63</v>
      </c>
      <c r="CI9" s="164"/>
      <c r="CJ9" s="165"/>
      <c r="CK9" s="165" t="s">
        <v>73</v>
      </c>
      <c r="CL9" s="165"/>
      <c r="CM9" s="165"/>
      <c r="CN9" s="254" t="s">
        <v>63</v>
      </c>
      <c r="CO9" s="164"/>
      <c r="CP9" s="165"/>
      <c r="CQ9" s="165" t="s">
        <v>48</v>
      </c>
      <c r="CR9" s="165"/>
      <c r="CS9" s="165"/>
      <c r="CT9" s="254" t="s">
        <v>63</v>
      </c>
      <c r="CU9" s="164"/>
      <c r="CV9" s="165"/>
      <c r="CW9" s="255" t="s">
        <v>63</v>
      </c>
      <c r="CX9" s="165"/>
      <c r="CY9" s="165"/>
      <c r="CZ9" s="256" t="s">
        <v>42</v>
      </c>
      <c r="DA9" s="164"/>
      <c r="DB9" s="165"/>
      <c r="DC9" s="255" t="s">
        <v>63</v>
      </c>
      <c r="DD9" s="165"/>
      <c r="DE9" s="254" t="s">
        <v>63</v>
      </c>
      <c r="DF9" s="164"/>
      <c r="DG9" s="161"/>
      <c r="DH9" s="161"/>
    </row>
    <row r="10" spans="1:112" x14ac:dyDescent="0.25">
      <c r="A10" s="58"/>
      <c r="B10" s="58"/>
      <c r="C10" s="58"/>
      <c r="D10" s="58"/>
      <c r="E10" s="58"/>
      <c r="F10" s="58"/>
      <c r="G10" s="58"/>
      <c r="H10" s="58"/>
      <c r="I10" s="58"/>
      <c r="J10" s="58"/>
      <c r="K10" s="58"/>
      <c r="L10" s="58"/>
      <c r="M10" s="58"/>
      <c r="N10" s="58"/>
      <c r="O10" s="58"/>
      <c r="P10" s="44"/>
      <c r="Q10" s="44"/>
      <c r="R10" s="200"/>
      <c r="S10" s="200"/>
      <c r="T10" s="200"/>
      <c r="U10" s="44"/>
      <c r="V10" s="44"/>
      <c r="W10" s="69"/>
      <c r="X10" s="207"/>
      <c r="Y10" s="207"/>
      <c r="Z10" s="44"/>
      <c r="AA10" s="44"/>
      <c r="AB10" s="44"/>
      <c r="AC10" s="44"/>
      <c r="AD10" s="44"/>
      <c r="AE10" s="44"/>
      <c r="AF10" s="44"/>
      <c r="AG10" s="44"/>
      <c r="AH10" s="44"/>
      <c r="AI10" s="44"/>
      <c r="AJ10" s="44"/>
      <c r="AK10" s="44"/>
      <c r="AL10" s="44"/>
      <c r="AM10" s="44"/>
      <c r="AN10" s="44"/>
      <c r="AO10" s="200"/>
      <c r="AP10" s="200"/>
      <c r="AQ10" s="44"/>
      <c r="AR10" s="44"/>
      <c r="AS10" s="44"/>
      <c r="AT10" s="44"/>
      <c r="AU10" s="44"/>
      <c r="AV10" s="44"/>
      <c r="AW10" s="44"/>
      <c r="AX10" s="44"/>
      <c r="AY10" s="44"/>
      <c r="AZ10" s="44"/>
      <c r="BA10" s="161"/>
      <c r="BB10" s="161"/>
      <c r="BC10" s="162"/>
      <c r="BD10" s="163"/>
      <c r="BE10" s="164"/>
      <c r="BF10" s="161"/>
      <c r="BG10" s="161"/>
      <c r="BH10" s="165"/>
      <c r="BI10" s="161"/>
      <c r="BJ10" s="162"/>
      <c r="BK10" s="164"/>
      <c r="BL10" s="161"/>
      <c r="BM10" s="161"/>
      <c r="BN10" s="165"/>
      <c r="BO10" s="161"/>
      <c r="BP10" s="162"/>
      <c r="BQ10" s="164"/>
      <c r="BR10" s="161"/>
      <c r="BS10" s="161"/>
      <c r="BT10" s="165"/>
      <c r="BU10" s="161"/>
      <c r="BV10" s="162"/>
      <c r="BW10" s="164"/>
      <c r="BX10" s="161"/>
      <c r="BY10" s="161"/>
      <c r="BZ10" s="165"/>
      <c r="CA10" s="161"/>
      <c r="CB10" s="162"/>
      <c r="CC10" s="166"/>
      <c r="CD10" s="161"/>
      <c r="CE10" s="161"/>
      <c r="CF10" s="165"/>
      <c r="CG10" s="161"/>
      <c r="CH10" s="162"/>
      <c r="CI10" s="166"/>
      <c r="CJ10" s="161"/>
      <c r="CK10" s="161"/>
      <c r="CL10" s="161"/>
      <c r="CM10" s="161"/>
      <c r="CN10" s="162"/>
      <c r="CO10" s="166"/>
      <c r="CP10" s="161"/>
      <c r="CQ10" s="161"/>
      <c r="CR10" s="161"/>
      <c r="CS10" s="161"/>
      <c r="CT10" s="162"/>
      <c r="CU10" s="166"/>
      <c r="CV10" s="161"/>
      <c r="CW10" s="161"/>
      <c r="CX10" s="161"/>
      <c r="CY10" s="161"/>
      <c r="CZ10" s="162"/>
      <c r="DA10" s="166"/>
      <c r="DB10" s="161"/>
      <c r="DC10" s="161"/>
      <c r="DD10" s="161"/>
      <c r="DE10" s="162"/>
      <c r="DF10" s="166"/>
      <c r="DG10" s="161"/>
      <c r="DH10" s="161"/>
    </row>
    <row r="11" spans="1:112" ht="22.5" customHeight="1" x14ac:dyDescent="0.35">
      <c r="A11" s="58"/>
      <c r="B11" s="58"/>
      <c r="C11" s="58"/>
      <c r="D11" s="58"/>
      <c r="E11" s="58"/>
      <c r="F11" s="58"/>
      <c r="G11" s="58"/>
      <c r="H11" s="60"/>
      <c r="I11" s="58"/>
      <c r="J11" s="58"/>
      <c r="K11" s="58"/>
      <c r="L11" s="58"/>
      <c r="M11" s="58"/>
      <c r="N11" s="58"/>
      <c r="O11" s="58"/>
      <c r="P11" s="44"/>
      <c r="Q11" s="44"/>
      <c r="R11" s="200"/>
      <c r="S11" s="200"/>
      <c r="T11" s="200"/>
      <c r="U11" s="44"/>
      <c r="V11" s="44"/>
      <c r="W11" s="44"/>
      <c r="X11" s="200"/>
      <c r="Y11" s="200"/>
      <c r="Z11" s="45" t="s">
        <v>234</v>
      </c>
      <c r="AA11" s="45"/>
      <c r="AB11" s="50"/>
      <c r="AC11" s="145"/>
      <c r="AD11" s="50"/>
      <c r="AE11" s="145"/>
      <c r="AF11" s="50"/>
      <c r="AG11" s="145"/>
      <c r="AH11" s="50"/>
      <c r="AI11" s="145"/>
      <c r="AJ11" s="50"/>
      <c r="AK11" s="145"/>
      <c r="AL11" s="50"/>
      <c r="AM11" s="145"/>
      <c r="AN11" s="50"/>
      <c r="AO11" s="145"/>
      <c r="AP11" s="145"/>
      <c r="AQ11" s="145"/>
      <c r="AR11" s="50"/>
      <c r="AS11" s="145"/>
      <c r="AT11" s="50"/>
      <c r="AU11" s="145"/>
      <c r="AV11" s="50"/>
      <c r="AW11" s="145"/>
      <c r="AX11" s="50"/>
      <c r="AY11" s="44"/>
      <c r="AZ11" s="44"/>
      <c r="BA11" s="161"/>
      <c r="BB11" s="161"/>
      <c r="BC11" s="162"/>
      <c r="BD11" s="163"/>
      <c r="BE11" s="164"/>
      <c r="BF11" s="161"/>
      <c r="BG11" s="161"/>
      <c r="BH11" s="165"/>
      <c r="BI11" s="161"/>
      <c r="BJ11" s="162"/>
      <c r="BK11" s="164"/>
      <c r="BL11" s="161"/>
      <c r="BM11" s="161"/>
      <c r="BN11" s="165"/>
      <c r="BO11" s="161"/>
      <c r="BP11" s="162"/>
      <c r="BQ11" s="164"/>
      <c r="BR11" s="161"/>
      <c r="BS11" s="161"/>
      <c r="BT11" s="165"/>
      <c r="BU11" s="161"/>
      <c r="BV11" s="162"/>
      <c r="BW11" s="164"/>
      <c r="BX11" s="161"/>
      <c r="BY11" s="161"/>
      <c r="BZ11" s="165"/>
      <c r="CA11" s="161"/>
      <c r="CB11" s="162"/>
      <c r="CC11" s="166"/>
      <c r="CD11" s="161"/>
      <c r="CE11" s="161"/>
      <c r="CF11" s="165"/>
      <c r="CG11" s="161"/>
      <c r="CH11" s="162"/>
      <c r="CI11" s="166"/>
      <c r="CJ11" s="161"/>
      <c r="CK11" s="161"/>
      <c r="CL11" s="161"/>
      <c r="CM11" s="161"/>
      <c r="CN11" s="162"/>
      <c r="CO11" s="166"/>
      <c r="CP11" s="161"/>
      <c r="CQ11" s="161"/>
      <c r="CR11" s="161"/>
      <c r="CS11" s="161"/>
      <c r="CT11" s="162"/>
      <c r="CU11" s="166"/>
      <c r="CV11" s="161"/>
      <c r="CW11" s="161"/>
      <c r="CX11" s="161"/>
      <c r="CY11" s="161"/>
      <c r="CZ11" s="162"/>
      <c r="DA11" s="166"/>
      <c r="DB11" s="161"/>
      <c r="DC11" s="161"/>
      <c r="DD11" s="161"/>
      <c r="DE11" s="162"/>
      <c r="DF11" s="166"/>
      <c r="DG11" s="161"/>
      <c r="DH11" s="161"/>
    </row>
    <row r="12" spans="1:112" ht="15.75" customHeight="1" x14ac:dyDescent="0.25">
      <c r="A12" s="58"/>
      <c r="B12" s="58"/>
      <c r="C12" s="58"/>
      <c r="D12" s="58"/>
      <c r="E12" s="58"/>
      <c r="F12" s="58"/>
      <c r="G12" s="58"/>
      <c r="H12" s="60" t="s">
        <v>42</v>
      </c>
      <c r="I12" s="58"/>
      <c r="J12" s="58"/>
      <c r="K12" s="58"/>
      <c r="L12" s="58"/>
      <c r="M12" s="58"/>
      <c r="N12" s="58"/>
      <c r="O12" s="58"/>
      <c r="P12" s="44"/>
      <c r="Q12" s="84"/>
      <c r="R12" s="210"/>
      <c r="S12" s="210"/>
      <c r="T12" s="210"/>
      <c r="U12" s="83"/>
      <c r="V12" s="84"/>
      <c r="W12" s="84"/>
      <c r="X12" s="210"/>
      <c r="Y12" s="210"/>
      <c r="Z12" s="241" t="s">
        <v>334</v>
      </c>
      <c r="AA12" s="241"/>
      <c r="AB12" s="241"/>
      <c r="AC12" s="241"/>
      <c r="AD12" s="241"/>
      <c r="AE12" s="241"/>
      <c r="AF12" s="241"/>
      <c r="AG12" s="241"/>
      <c r="AH12" s="241"/>
      <c r="AI12" s="241"/>
      <c r="AJ12" s="241"/>
      <c r="AK12" s="241"/>
      <c r="AL12" s="241"/>
      <c r="AM12" s="241"/>
      <c r="AN12" s="241"/>
      <c r="AO12" s="241"/>
      <c r="AP12" s="241"/>
      <c r="AQ12" s="241"/>
      <c r="AR12" s="241"/>
      <c r="AS12" s="241"/>
      <c r="AT12" s="241"/>
      <c r="AU12" s="241"/>
      <c r="AV12" s="241"/>
      <c r="AW12" s="241"/>
      <c r="AX12" s="241"/>
      <c r="AY12" s="44"/>
      <c r="AZ12" s="44"/>
      <c r="BA12" s="161"/>
      <c r="BB12" s="161"/>
      <c r="BC12" s="162"/>
      <c r="BD12" s="163"/>
      <c r="BE12" s="164"/>
      <c r="BF12" s="161"/>
      <c r="BG12" s="161"/>
      <c r="BH12" s="165"/>
      <c r="BI12" s="161"/>
      <c r="BJ12" s="162"/>
      <c r="BK12" s="164"/>
      <c r="BL12" s="161"/>
      <c r="BM12" s="161"/>
      <c r="BN12" s="165"/>
      <c r="BO12" s="161"/>
      <c r="BP12" s="162"/>
      <c r="BQ12" s="164"/>
      <c r="BR12" s="161"/>
      <c r="BS12" s="161"/>
      <c r="BT12" s="165"/>
      <c r="BU12" s="161"/>
      <c r="BV12" s="162"/>
      <c r="BW12" s="164"/>
      <c r="BX12" s="161"/>
      <c r="BY12" s="161"/>
      <c r="BZ12" s="165"/>
      <c r="CA12" s="161"/>
      <c r="CB12" s="162"/>
      <c r="CC12" s="166"/>
      <c r="CD12" s="161"/>
      <c r="CE12" s="161"/>
      <c r="CF12" s="165"/>
      <c r="CG12" s="161"/>
      <c r="CH12" s="162"/>
      <c r="CI12" s="166"/>
      <c r="CJ12" s="161"/>
      <c r="CK12" s="161"/>
      <c r="CL12" s="161"/>
      <c r="CM12" s="161"/>
      <c r="CN12" s="162"/>
      <c r="CO12" s="166"/>
      <c r="CP12" s="161"/>
      <c r="CQ12" s="161"/>
      <c r="CR12" s="161"/>
      <c r="CS12" s="161"/>
      <c r="CT12" s="162"/>
      <c r="CU12" s="166"/>
      <c r="CV12" s="161"/>
      <c r="CW12" s="161"/>
      <c r="CX12" s="161"/>
      <c r="CY12" s="161"/>
      <c r="CZ12" s="162"/>
      <c r="DA12" s="166"/>
      <c r="DB12" s="161"/>
      <c r="DC12" s="161"/>
      <c r="DD12" s="161"/>
      <c r="DE12" s="162"/>
      <c r="DF12" s="166"/>
      <c r="DG12" s="161"/>
      <c r="DH12" s="161"/>
    </row>
    <row r="13" spans="1:112" ht="15.75" x14ac:dyDescent="0.25">
      <c r="A13" s="58"/>
      <c r="B13" s="58"/>
      <c r="C13" s="58"/>
      <c r="D13" s="58"/>
      <c r="E13" s="58"/>
      <c r="F13" s="58"/>
      <c r="G13" s="58"/>
      <c r="H13" s="58"/>
      <c r="I13" s="58"/>
      <c r="J13" s="58"/>
      <c r="K13" s="58"/>
      <c r="L13" s="58"/>
      <c r="M13" s="58"/>
      <c r="N13" s="61"/>
      <c r="O13" s="58"/>
      <c r="P13" s="44"/>
      <c r="Q13" s="83"/>
      <c r="R13" s="209"/>
      <c r="S13" s="223" t="s">
        <v>346</v>
      </c>
      <c r="T13" s="209"/>
      <c r="U13" s="172" t="s">
        <v>290</v>
      </c>
      <c r="V13" s="84"/>
      <c r="W13" s="44"/>
      <c r="X13" s="216" t="s">
        <v>352</v>
      </c>
      <c r="Y13" s="200"/>
      <c r="Z13" s="95" t="s">
        <v>287</v>
      </c>
      <c r="AA13" s="44"/>
      <c r="AB13" s="174" t="s">
        <v>126</v>
      </c>
      <c r="AC13" s="49"/>
      <c r="AD13" s="95" t="s">
        <v>145</v>
      </c>
      <c r="AE13" s="146"/>
      <c r="AF13" s="174" t="s">
        <v>295</v>
      </c>
      <c r="AG13" s="44"/>
      <c r="AH13" s="95" t="s">
        <v>224</v>
      </c>
      <c r="AI13" s="146"/>
      <c r="AJ13" s="174" t="s">
        <v>225</v>
      </c>
      <c r="AK13" s="44"/>
      <c r="AL13" s="95" t="s">
        <v>226</v>
      </c>
      <c r="AM13" s="146"/>
      <c r="AN13" s="174" t="s">
        <v>227</v>
      </c>
      <c r="AO13" s="242"/>
      <c r="AP13" s="174" t="s">
        <v>227</v>
      </c>
      <c r="AQ13" s="44"/>
      <c r="AR13" s="95" t="s">
        <v>228</v>
      </c>
      <c r="AS13" s="44"/>
      <c r="AT13" s="174" t="s">
        <v>229</v>
      </c>
      <c r="AU13" s="44"/>
      <c r="AV13" s="95" t="s">
        <v>230</v>
      </c>
      <c r="AW13" s="44"/>
      <c r="AX13" s="100" t="s">
        <v>231</v>
      </c>
      <c r="AY13" s="44"/>
      <c r="AZ13" s="44"/>
      <c r="BA13" s="161"/>
      <c r="BB13" s="161"/>
      <c r="BC13" s="162"/>
      <c r="BD13" s="163"/>
      <c r="BE13" s="164"/>
      <c r="BF13" s="161"/>
      <c r="BG13" s="161"/>
      <c r="BH13" s="165"/>
      <c r="BI13" s="161"/>
      <c r="BJ13" s="162"/>
      <c r="BK13" s="164"/>
      <c r="BL13" s="161"/>
      <c r="BM13" s="161"/>
      <c r="BN13" s="165"/>
      <c r="BO13" s="161"/>
      <c r="BP13" s="162"/>
      <c r="BQ13" s="164"/>
      <c r="BR13" s="161"/>
      <c r="BS13" s="161"/>
      <c r="BT13" s="165"/>
      <c r="BU13" s="161"/>
      <c r="BV13" s="162"/>
      <c r="BW13" s="164"/>
      <c r="BX13" s="161"/>
      <c r="BY13" s="161"/>
      <c r="BZ13" s="165"/>
      <c r="CA13" s="161"/>
      <c r="CB13" s="162"/>
      <c r="CC13" s="166"/>
      <c r="CD13" s="161"/>
      <c r="CE13" s="161"/>
      <c r="CF13" s="165"/>
      <c r="CG13" s="161"/>
      <c r="CH13" s="162"/>
      <c r="CI13" s="166"/>
      <c r="CJ13" s="161"/>
      <c r="CK13" s="161"/>
      <c r="CL13" s="161"/>
      <c r="CM13" s="161"/>
      <c r="CN13" s="162"/>
      <c r="CO13" s="166"/>
      <c r="CP13" s="161"/>
      <c r="CQ13" s="161"/>
      <c r="CR13" s="161"/>
      <c r="CS13" s="161"/>
      <c r="CT13" s="162"/>
      <c r="CU13" s="166"/>
      <c r="CV13" s="161"/>
      <c r="CW13" s="161"/>
      <c r="CX13" s="161"/>
      <c r="CY13" s="161"/>
      <c r="CZ13" s="162"/>
      <c r="DA13" s="166"/>
      <c r="DB13" s="161"/>
      <c r="DC13" s="161"/>
      <c r="DD13" s="161"/>
      <c r="DE13" s="162"/>
      <c r="DF13" s="166"/>
      <c r="DG13" s="161"/>
      <c r="DH13" s="161"/>
    </row>
    <row r="14" spans="1:112" x14ac:dyDescent="0.25">
      <c r="A14" s="58"/>
      <c r="B14" s="58"/>
      <c r="C14" s="58"/>
      <c r="D14" s="58"/>
      <c r="E14" s="58"/>
      <c r="F14" s="58"/>
      <c r="G14" s="58"/>
      <c r="H14" s="58"/>
      <c r="I14" s="58"/>
      <c r="J14" s="58"/>
      <c r="K14" s="58"/>
      <c r="L14" s="58"/>
      <c r="M14" s="58"/>
      <c r="N14" s="58"/>
      <c r="O14" s="58"/>
      <c r="P14" s="44"/>
      <c r="Q14" s="83"/>
      <c r="R14" s="209"/>
      <c r="S14" s="209"/>
      <c r="T14" s="209"/>
      <c r="U14" s="144" t="s">
        <v>335</v>
      </c>
      <c r="V14" s="84"/>
      <c r="W14" s="44"/>
      <c r="X14" s="215" t="s">
        <v>354</v>
      </c>
      <c r="Y14" s="200"/>
      <c r="Z14" s="95" t="s">
        <v>324</v>
      </c>
      <c r="AA14" s="44"/>
      <c r="AB14" s="174" t="s">
        <v>124</v>
      </c>
      <c r="AC14" s="49"/>
      <c r="AD14" s="95" t="s">
        <v>146</v>
      </c>
      <c r="AE14" s="146"/>
      <c r="AF14" s="174" t="s">
        <v>124</v>
      </c>
      <c r="AG14" s="44"/>
      <c r="AH14" s="95" t="s">
        <v>124</v>
      </c>
      <c r="AI14" s="44"/>
      <c r="AJ14" s="174" t="s">
        <v>124</v>
      </c>
      <c r="AK14" s="44"/>
      <c r="AL14" s="95" t="s">
        <v>146</v>
      </c>
      <c r="AM14" s="44"/>
      <c r="AN14" s="174" t="s">
        <v>146</v>
      </c>
      <c r="AO14" s="242"/>
      <c r="AP14" s="244" t="s">
        <v>378</v>
      </c>
      <c r="AQ14" s="44"/>
      <c r="AR14" s="95" t="s">
        <v>146</v>
      </c>
      <c r="AS14" s="44"/>
      <c r="AT14" s="174" t="s">
        <v>146</v>
      </c>
      <c r="AU14" s="44"/>
      <c r="AV14" s="95" t="s">
        <v>146</v>
      </c>
      <c r="AW14" s="44"/>
      <c r="AX14" s="100" t="s">
        <v>146</v>
      </c>
      <c r="AY14" s="44"/>
      <c r="AZ14" s="44"/>
      <c r="BA14" s="161"/>
      <c r="BB14" s="161"/>
      <c r="BC14" s="162"/>
      <c r="BD14" s="163"/>
      <c r="BE14" s="164"/>
      <c r="BF14" s="161"/>
      <c r="BG14" s="161"/>
      <c r="BH14" s="165"/>
      <c r="BI14" s="161"/>
      <c r="BJ14" s="162"/>
      <c r="BK14" s="164"/>
      <c r="BL14" s="161"/>
      <c r="BM14" s="161"/>
      <c r="BN14" s="165"/>
      <c r="BO14" s="161"/>
      <c r="BP14" s="162"/>
      <c r="BQ14" s="164"/>
      <c r="BR14" s="161"/>
      <c r="BS14" s="161"/>
      <c r="BT14" s="165"/>
      <c r="BU14" s="161"/>
      <c r="BV14" s="162"/>
      <c r="BW14" s="164"/>
      <c r="BX14" s="161"/>
      <c r="BY14" s="161"/>
      <c r="BZ14" s="165"/>
      <c r="CA14" s="161"/>
      <c r="CB14" s="162"/>
      <c r="CC14" s="166"/>
      <c r="CD14" s="161"/>
      <c r="CE14" s="161"/>
      <c r="CF14" s="165"/>
      <c r="CG14" s="161"/>
      <c r="CH14" s="162"/>
      <c r="CI14" s="166"/>
      <c r="CJ14" s="161"/>
      <c r="CK14" s="161"/>
      <c r="CL14" s="161"/>
      <c r="CM14" s="161"/>
      <c r="CN14" s="162"/>
      <c r="CO14" s="166"/>
      <c r="CP14" s="161"/>
      <c r="CQ14" s="161"/>
      <c r="CR14" s="161"/>
      <c r="CS14" s="161"/>
      <c r="CT14" s="162"/>
      <c r="CU14" s="166"/>
      <c r="CV14" s="161"/>
      <c r="CW14" s="161"/>
      <c r="CX14" s="161"/>
      <c r="CY14" s="161"/>
      <c r="CZ14" s="162"/>
      <c r="DA14" s="166"/>
      <c r="DB14" s="161"/>
      <c r="DC14" s="161"/>
      <c r="DD14" s="161"/>
      <c r="DE14" s="162"/>
      <c r="DF14" s="166"/>
      <c r="DG14" s="165"/>
      <c r="DH14" s="165"/>
    </row>
    <row r="15" spans="1:112" ht="22.5" customHeight="1" x14ac:dyDescent="0.25">
      <c r="A15" s="58"/>
      <c r="B15" s="58"/>
      <c r="C15" s="58"/>
      <c r="D15" s="58"/>
      <c r="E15" s="58"/>
      <c r="F15" s="58"/>
      <c r="G15" s="58"/>
      <c r="H15" s="58"/>
      <c r="I15" s="58"/>
      <c r="J15" s="58"/>
      <c r="K15" s="58"/>
      <c r="L15" s="58"/>
      <c r="M15" s="58"/>
      <c r="N15" s="58"/>
      <c r="O15" s="58"/>
      <c r="P15" s="44"/>
      <c r="Q15" s="85"/>
      <c r="R15" s="202"/>
      <c r="S15" s="202"/>
      <c r="T15" s="202"/>
      <c r="U15" s="70"/>
      <c r="V15" s="86"/>
      <c r="W15" s="44"/>
      <c r="X15" s="206"/>
      <c r="Y15" s="200"/>
      <c r="Z15" s="44"/>
      <c r="AA15" s="44"/>
      <c r="AB15" s="51"/>
      <c r="AC15" s="44"/>
      <c r="AD15" s="44"/>
      <c r="AE15" s="44"/>
      <c r="AF15" s="51"/>
      <c r="AG15" s="44"/>
      <c r="AH15" s="44"/>
      <c r="AI15" s="44"/>
      <c r="AJ15" s="51"/>
      <c r="AK15" s="44"/>
      <c r="AL15" s="44"/>
      <c r="AM15" s="44"/>
      <c r="AN15" s="51"/>
      <c r="AO15" s="206"/>
      <c r="AP15" s="206"/>
      <c r="AQ15" s="44"/>
      <c r="AR15" s="44"/>
      <c r="AS15" s="44"/>
      <c r="AT15" s="51"/>
      <c r="AU15" s="44"/>
      <c r="AV15" s="44"/>
      <c r="AW15" s="44"/>
      <c r="AX15" s="44"/>
      <c r="AY15" s="44"/>
      <c r="AZ15" s="44"/>
      <c r="BA15" s="165"/>
      <c r="BB15" s="161"/>
      <c r="BC15" s="191"/>
      <c r="BD15" s="192"/>
      <c r="BE15" s="164"/>
      <c r="BF15" s="165"/>
      <c r="BG15" s="165"/>
      <c r="BH15" s="165"/>
      <c r="BI15" s="165"/>
      <c r="BJ15" s="191"/>
      <c r="BK15" s="164"/>
      <c r="BL15" s="165"/>
      <c r="BM15" s="165"/>
      <c r="BN15" s="165"/>
      <c r="BO15" s="165"/>
      <c r="BP15" s="191"/>
      <c r="BQ15" s="164"/>
      <c r="BR15" s="165"/>
      <c r="BS15" s="165"/>
      <c r="BT15" s="165"/>
      <c r="BU15" s="165"/>
      <c r="BV15" s="191"/>
      <c r="BW15" s="164"/>
      <c r="BX15" s="165"/>
      <c r="BY15" s="165"/>
      <c r="BZ15" s="165"/>
      <c r="CA15" s="165"/>
      <c r="CB15" s="191"/>
      <c r="CC15" s="164"/>
      <c r="CD15" s="165"/>
      <c r="CE15" s="165"/>
      <c r="CF15" s="165"/>
      <c r="CG15" s="165"/>
      <c r="CH15" s="191"/>
      <c r="CI15" s="164"/>
      <c r="CJ15" s="165"/>
      <c r="CK15" s="165"/>
      <c r="CL15" s="165"/>
      <c r="CM15" s="165"/>
      <c r="CN15" s="191"/>
      <c r="CO15" s="164"/>
      <c r="CP15" s="165"/>
      <c r="CQ15" s="165"/>
      <c r="CR15" s="165"/>
      <c r="CS15" s="165"/>
      <c r="CT15" s="191"/>
      <c r="CU15" s="164"/>
      <c r="CV15" s="165"/>
      <c r="CW15" s="165"/>
      <c r="CX15" s="165"/>
      <c r="CY15" s="165"/>
      <c r="CZ15" s="191"/>
      <c r="DA15" s="164"/>
      <c r="DB15" s="165"/>
      <c r="DC15" s="165"/>
      <c r="DD15" s="165"/>
      <c r="DE15" s="191"/>
      <c r="DF15" s="164"/>
      <c r="DG15" s="165"/>
      <c r="DH15" s="165"/>
    </row>
    <row r="16" spans="1:112" ht="15.75" x14ac:dyDescent="0.25">
      <c r="A16" s="58"/>
      <c r="B16" s="58"/>
      <c r="C16" s="58"/>
      <c r="D16" s="58"/>
      <c r="E16" s="58"/>
      <c r="F16" s="58"/>
      <c r="G16" s="58"/>
      <c r="H16" s="58"/>
      <c r="I16" s="58"/>
      <c r="J16" s="58"/>
      <c r="K16" s="58"/>
      <c r="L16" s="58"/>
      <c r="M16" s="58"/>
      <c r="N16" s="58"/>
      <c r="O16" s="58"/>
      <c r="P16" s="44"/>
      <c r="Q16" s="211"/>
      <c r="R16" s="202"/>
      <c r="S16" s="171" t="s">
        <v>105</v>
      </c>
      <c r="T16" s="202"/>
      <c r="U16" s="208"/>
      <c r="V16" s="212"/>
      <c r="W16" s="200"/>
      <c r="X16" s="206"/>
      <c r="Y16" s="200"/>
      <c r="Z16" s="200"/>
      <c r="AA16" s="200"/>
      <c r="AB16" s="206"/>
      <c r="AC16" s="200"/>
      <c r="AD16" s="200"/>
      <c r="AE16" s="200"/>
      <c r="AF16" s="206"/>
      <c r="AG16" s="200"/>
      <c r="AH16" s="200"/>
      <c r="AI16" s="200"/>
      <c r="AJ16" s="206"/>
      <c r="AK16" s="200"/>
      <c r="AL16" s="200"/>
      <c r="AM16" s="200"/>
      <c r="AN16" s="206"/>
      <c r="AO16" s="206"/>
      <c r="AP16" s="253"/>
      <c r="AQ16" s="200"/>
      <c r="AR16" s="200"/>
      <c r="AS16" s="200"/>
      <c r="AT16" s="206"/>
      <c r="AU16" s="200"/>
      <c r="AV16" s="200"/>
      <c r="AW16" s="200"/>
      <c r="AX16" s="200"/>
      <c r="AY16" s="200"/>
      <c r="AZ16" s="200"/>
      <c r="BA16" s="165"/>
      <c r="BB16" s="161"/>
      <c r="BC16" s="191"/>
      <c r="BD16" s="192"/>
      <c r="BE16" s="164"/>
      <c r="BF16" s="165"/>
      <c r="BG16" s="165"/>
      <c r="BH16" s="165"/>
      <c r="BI16" s="165"/>
      <c r="BJ16" s="191"/>
      <c r="BK16" s="164"/>
      <c r="BL16" s="165"/>
      <c r="BM16" s="165"/>
      <c r="BN16" s="165"/>
      <c r="BO16" s="165"/>
      <c r="BP16" s="191"/>
      <c r="BQ16" s="164"/>
      <c r="BR16" s="165"/>
      <c r="BS16" s="165"/>
      <c r="BT16" s="165"/>
      <c r="BU16" s="165"/>
      <c r="BV16" s="191"/>
      <c r="BW16" s="164"/>
      <c r="BX16" s="165"/>
      <c r="BY16" s="165"/>
      <c r="BZ16" s="165"/>
      <c r="CA16" s="165"/>
      <c r="CB16" s="191"/>
      <c r="CC16" s="164"/>
      <c r="CD16" s="165"/>
      <c r="CE16" s="165"/>
      <c r="CF16" s="165"/>
      <c r="CG16" s="165"/>
      <c r="CH16" s="191"/>
      <c r="CI16" s="164"/>
      <c r="CJ16" s="165"/>
      <c r="CK16" s="165"/>
      <c r="CL16" s="165"/>
      <c r="CM16" s="165"/>
      <c r="CN16" s="191"/>
      <c r="CO16" s="164"/>
      <c r="CP16" s="165"/>
      <c r="CQ16" s="165"/>
      <c r="CR16" s="165"/>
      <c r="CS16" s="165"/>
      <c r="CT16" s="191"/>
      <c r="CU16" s="164"/>
      <c r="CV16" s="165"/>
      <c r="CW16" s="165"/>
      <c r="CX16" s="165"/>
      <c r="CY16" s="165"/>
      <c r="CZ16" s="191"/>
      <c r="DA16" s="164"/>
      <c r="DB16" s="165"/>
      <c r="DC16" s="165"/>
      <c r="DD16" s="165"/>
      <c r="DE16" s="191"/>
      <c r="DF16" s="164"/>
      <c r="DG16" s="165"/>
      <c r="DH16" s="165"/>
    </row>
    <row r="17" spans="1:112" ht="22.5" customHeight="1" x14ac:dyDescent="0.25">
      <c r="A17" s="58"/>
      <c r="B17" s="58"/>
      <c r="C17" s="58"/>
      <c r="D17" s="58"/>
      <c r="E17" s="58"/>
      <c r="F17" s="58"/>
      <c r="G17" s="58"/>
      <c r="H17" s="58"/>
      <c r="I17" s="58"/>
      <c r="J17" s="58"/>
      <c r="K17" s="58"/>
      <c r="L17" s="58"/>
      <c r="M17" s="58"/>
      <c r="N17" s="58"/>
      <c r="O17" s="58"/>
      <c r="P17" s="44"/>
      <c r="Q17" s="211"/>
      <c r="R17" s="202"/>
      <c r="S17" s="202"/>
      <c r="T17" s="202"/>
      <c r="U17" s="208"/>
      <c r="V17" s="212"/>
      <c r="W17" s="200"/>
      <c r="X17" s="206"/>
      <c r="Y17" s="200"/>
      <c r="Z17" s="200"/>
      <c r="AA17" s="200"/>
      <c r="AB17" s="206"/>
      <c r="AC17" s="200"/>
      <c r="AD17" s="200"/>
      <c r="AE17" s="200"/>
      <c r="AF17" s="206"/>
      <c r="AG17" s="200"/>
      <c r="AH17" s="200"/>
      <c r="AI17" s="200"/>
      <c r="AJ17" s="206"/>
      <c r="AK17" s="200"/>
      <c r="AL17" s="200"/>
      <c r="AM17" s="200"/>
      <c r="AN17" s="206"/>
      <c r="AO17" s="206"/>
      <c r="AP17" s="206"/>
      <c r="AQ17" s="200"/>
      <c r="AR17" s="200"/>
      <c r="AS17" s="200"/>
      <c r="AT17" s="206"/>
      <c r="AU17" s="200"/>
      <c r="AV17" s="200"/>
      <c r="AW17" s="200"/>
      <c r="AX17" s="200"/>
      <c r="AY17" s="200"/>
      <c r="AZ17" s="200"/>
      <c r="BA17" s="165"/>
      <c r="BB17" s="161"/>
      <c r="BC17" s="191"/>
      <c r="BD17" s="192"/>
      <c r="BE17" s="164"/>
      <c r="BF17" s="165"/>
      <c r="BG17" s="165"/>
      <c r="BH17" s="165"/>
      <c r="BI17" s="165"/>
      <c r="BJ17" s="191"/>
      <c r="BK17" s="164"/>
      <c r="BL17" s="165"/>
      <c r="BM17" s="165"/>
      <c r="BN17" s="165"/>
      <c r="BO17" s="165"/>
      <c r="BP17" s="191"/>
      <c r="BQ17" s="164"/>
      <c r="BR17" s="165"/>
      <c r="BS17" s="165"/>
      <c r="BT17" s="165"/>
      <c r="BU17" s="165"/>
      <c r="BV17" s="191"/>
      <c r="BW17" s="164"/>
      <c r="BX17" s="165"/>
      <c r="BY17" s="165"/>
      <c r="BZ17" s="165"/>
      <c r="CA17" s="165"/>
      <c r="CB17" s="191"/>
      <c r="CC17" s="164"/>
      <c r="CD17" s="165"/>
      <c r="CE17" s="165"/>
      <c r="CF17" s="165"/>
      <c r="CG17" s="165"/>
      <c r="CH17" s="191"/>
      <c r="CI17" s="164"/>
      <c r="CJ17" s="165"/>
      <c r="CK17" s="165"/>
      <c r="CL17" s="165"/>
      <c r="CM17" s="165"/>
      <c r="CN17" s="191"/>
      <c r="CO17" s="164"/>
      <c r="CP17" s="165"/>
      <c r="CQ17" s="165"/>
      <c r="CR17" s="165"/>
      <c r="CS17" s="165"/>
      <c r="CT17" s="191"/>
      <c r="CU17" s="164"/>
      <c r="CV17" s="165"/>
      <c r="CW17" s="165"/>
      <c r="CX17" s="165"/>
      <c r="CY17" s="165"/>
      <c r="CZ17" s="191"/>
      <c r="DA17" s="164"/>
      <c r="DB17" s="165"/>
      <c r="DC17" s="165"/>
      <c r="DD17" s="165"/>
      <c r="DE17" s="191"/>
      <c r="DF17" s="164"/>
      <c r="DG17" s="165"/>
      <c r="DH17" s="165"/>
    </row>
    <row r="18" spans="1:112" ht="15" customHeight="1" x14ac:dyDescent="0.25">
      <c r="A18" s="58"/>
      <c r="B18" s="58" t="s">
        <v>169</v>
      </c>
      <c r="C18" s="58"/>
      <c r="D18" s="58"/>
      <c r="E18" s="58"/>
      <c r="F18" s="58"/>
      <c r="G18" s="58"/>
      <c r="H18" s="58"/>
      <c r="I18" s="58"/>
      <c r="J18" s="58"/>
      <c r="K18" s="58"/>
      <c r="L18" s="58"/>
      <c r="M18" s="58"/>
      <c r="N18" s="58"/>
      <c r="O18" s="58"/>
      <c r="P18" s="44"/>
      <c r="Q18" s="156" t="s">
        <v>3</v>
      </c>
      <c r="R18" s="154"/>
      <c r="S18" s="224" t="str">
        <f>VLOOKUP($S$16,'Infos &amp; Hilfseinträge'!$AS$4:$AX$48,2,FALSE)</f>
        <v>100-400</v>
      </c>
      <c r="T18" s="154"/>
      <c r="U18" s="171">
        <v>250</v>
      </c>
      <c r="V18" s="157" t="s">
        <v>232</v>
      </c>
      <c r="W18" s="151"/>
      <c r="X18" s="181">
        <f>(U18*$U$4-('Wasserversorger &amp; Aufbereitung'!AW14-'Wasserversorger &amp; Aufbereitung'!L14)-'Wasserversorger &amp; Aufbereitung'!G14*$U$4+'Wasserversorger &amp; Aufbereitung'!G14*Zielmengenrechner!$Z$8)/(VLOOKUP($X$9,'Infos &amp; Hilfseinträge'!$V$7:$AB$22,3,FALSE)-'Wasserversorger &amp; Aufbereitung'!G14)</f>
        <v>-290.18181818181819</v>
      </c>
      <c r="Y18" s="151"/>
      <c r="Z18" s="175" t="str">
        <f>IF(U18&lt;'Wasserversorger &amp; Aufbereitung'!BK14,(1-(U18/'Wasserversorger &amp; Aufbereitung'!BK14))*'Wasserversorger &amp; Aufbereitung'!$L$4,"X")</f>
        <v>X</v>
      </c>
      <c r="AA18" s="176"/>
      <c r="AB18" s="177"/>
      <c r="AC18" s="178"/>
      <c r="AD18" s="177"/>
      <c r="AE18" s="179"/>
      <c r="AF18" s="177"/>
      <c r="AG18" s="176"/>
      <c r="AH18" s="175">
        <f>IF(U18&gt;'Wasserversorger &amp; Aufbereitung'!BK14,(U18*'Wasserversorger &amp; Aufbereitung'!$L$4-'Wasserversorger &amp; Aufbereitung'!BK14*'Wasserversorger &amp; Aufbereitung'!$L$4)/1000/IF(AH6="[g]",1,'Wasserversorger &amp; Aufbereitung'!X8)*100/'Wasserversorger &amp; Aufbereitung'!X6*98/96,"X")</f>
        <v>61.129349967170064</v>
      </c>
      <c r="AI18" s="176"/>
      <c r="AJ18" s="177"/>
      <c r="AK18" s="176"/>
      <c r="AL18" s="180">
        <f>IF(U18&gt;'Wasserversorger &amp; Aufbereitung'!BK14,(U18*'Wasserversorger &amp; Aufbereitung'!$L$4-'Wasserversorger &amp; Aufbereitung'!BK14*'Wasserversorger &amp; Aufbereitung'!$L$4)/557.93,"X")</f>
        <v>11.44229562848386</v>
      </c>
      <c r="AM18" s="176"/>
      <c r="AN18" s="177"/>
      <c r="AO18" s="206"/>
      <c r="AP18" s="177"/>
      <c r="AQ18" s="176"/>
      <c r="AR18" s="177"/>
      <c r="AS18" s="176"/>
      <c r="AT18" s="181">
        <f>IF(U18&gt;'Wasserversorger &amp; Aufbereitung'!BK14,(U18*'Wasserversorger &amp; Aufbereitung'!$L$4-'Wasserversorger &amp; Aufbereitung'!BK14*'Wasserversorger &amp; Aufbereitung'!$L$4)/389.73,"X")</f>
        <v>16.380571164652451</v>
      </c>
      <c r="AU18" s="176"/>
      <c r="AV18" s="177"/>
      <c r="AW18" s="176"/>
      <c r="AX18" s="177"/>
      <c r="AY18" s="44"/>
      <c r="AZ18" s="44"/>
      <c r="BA18" s="165"/>
      <c r="BB18" s="167" t="s">
        <v>40</v>
      </c>
      <c r="BC18" s="191"/>
      <c r="BD18" s="192" t="s">
        <v>45</v>
      </c>
      <c r="BE18" s="164">
        <f>'Wasserversorger &amp; Aufbereitung'!$BK$14</f>
        <v>22</v>
      </c>
      <c r="BF18" s="165"/>
      <c r="BG18" s="165" t="s">
        <v>45</v>
      </c>
      <c r="BH18" s="165">
        <f>'Wasserversorger &amp; Aufbereitung'!$BK$14</f>
        <v>22</v>
      </c>
      <c r="BI18" s="165"/>
      <c r="BJ18" s="191" t="s">
        <v>54</v>
      </c>
      <c r="BK18" s="164">
        <f>'Wasserversorger &amp; Aufbereitung'!$BK$14</f>
        <v>22</v>
      </c>
      <c r="BL18" s="165"/>
      <c r="BM18" s="165" t="s">
        <v>58</v>
      </c>
      <c r="BN18" s="165">
        <f>'Wasserversorger &amp; Aufbereitung'!$BK$14</f>
        <v>22</v>
      </c>
      <c r="BO18" s="165"/>
      <c r="BP18" s="191" t="s">
        <v>61</v>
      </c>
      <c r="BQ18" s="164">
        <f>'Wasserversorger &amp; Aufbereitung'!$BK$14</f>
        <v>22</v>
      </c>
      <c r="BR18" s="165"/>
      <c r="BS18" s="165" t="s">
        <v>45</v>
      </c>
      <c r="BT18" s="165">
        <f>'Wasserversorger &amp; Aufbereitung'!$BK$14</f>
        <v>22</v>
      </c>
      <c r="BU18" s="165"/>
      <c r="BV18" s="191" t="s">
        <v>61</v>
      </c>
      <c r="BW18" s="164">
        <f>'Wasserversorger &amp; Aufbereitung'!$BK$14</f>
        <v>22</v>
      </c>
      <c r="BX18" s="165"/>
      <c r="BY18" s="165" t="s">
        <v>61</v>
      </c>
      <c r="BZ18" s="165">
        <f>'Wasserversorger &amp; Aufbereitung'!$BK$14</f>
        <v>22</v>
      </c>
      <c r="CA18" s="165"/>
      <c r="CB18" s="191" t="s">
        <v>58</v>
      </c>
      <c r="CC18" s="164">
        <f>'Wasserversorger &amp; Aufbereitung'!$BK$14</f>
        <v>22</v>
      </c>
      <c r="CD18" s="165"/>
      <c r="CE18" s="165" t="s">
        <v>58</v>
      </c>
      <c r="CF18" s="165">
        <f>'Wasserversorger &amp; Aufbereitung'!$BK$14</f>
        <v>22</v>
      </c>
      <c r="CG18" s="165"/>
      <c r="CH18" s="191" t="s">
        <v>54</v>
      </c>
      <c r="CI18" s="164">
        <f>'Wasserversorger &amp; Aufbereitung'!$BK$14</f>
        <v>22</v>
      </c>
      <c r="CJ18" s="165"/>
      <c r="CK18" s="165" t="s">
        <v>45</v>
      </c>
      <c r="CL18" s="165">
        <f>'Wasserversorger &amp; Aufbereitung'!$BK$14</f>
        <v>22</v>
      </c>
      <c r="CM18" s="165"/>
      <c r="CN18" s="191" t="s">
        <v>45</v>
      </c>
      <c r="CO18" s="164">
        <f>'Wasserversorger &amp; Aufbereitung'!$BK$14</f>
        <v>22</v>
      </c>
      <c r="CP18" s="165"/>
      <c r="CQ18" s="165" t="s">
        <v>74</v>
      </c>
      <c r="CR18" s="165">
        <f>'Wasserversorger &amp; Aufbereitung'!$BK$14</f>
        <v>22</v>
      </c>
      <c r="CS18" s="165"/>
      <c r="CT18" s="191" t="s">
        <v>75</v>
      </c>
      <c r="CU18" s="164">
        <f>'Wasserversorger &amp; Aufbereitung'!$BK$14</f>
        <v>22</v>
      </c>
      <c r="CV18" s="165"/>
      <c r="CW18" s="165" t="s">
        <v>54</v>
      </c>
      <c r="CX18" s="165">
        <f>'Wasserversorger &amp; Aufbereitung'!$BK$14</f>
        <v>22</v>
      </c>
      <c r="CY18" s="165"/>
      <c r="CZ18" s="191" t="s">
        <v>46</v>
      </c>
      <c r="DA18" s="164">
        <f>'Wasserversorger &amp; Aufbereitung'!$BK$14</f>
        <v>22</v>
      </c>
      <c r="DB18" s="165"/>
      <c r="DC18" s="165" t="s">
        <v>46</v>
      </c>
      <c r="DD18" s="165">
        <f>'Wasserversorger &amp; Aufbereitung'!$BK$14</f>
        <v>22</v>
      </c>
      <c r="DE18" s="191" t="s">
        <v>54</v>
      </c>
      <c r="DF18" s="164">
        <f>'Wasserversorger &amp; Aufbereitung'!$BK$14</f>
        <v>22</v>
      </c>
      <c r="DG18" s="161"/>
      <c r="DH18" s="161"/>
    </row>
    <row r="19" spans="1:112" ht="22.5" customHeight="1" x14ac:dyDescent="0.25">
      <c r="A19" s="58"/>
      <c r="B19" s="238" t="s">
        <v>167</v>
      </c>
      <c r="C19" s="58"/>
      <c r="D19" s="58"/>
      <c r="E19" s="58"/>
      <c r="F19" s="58"/>
      <c r="G19" s="58"/>
      <c r="H19" s="58"/>
      <c r="I19" s="58"/>
      <c r="J19" s="58"/>
      <c r="K19" s="238"/>
      <c r="L19" s="58"/>
      <c r="M19" s="239" t="s">
        <v>168</v>
      </c>
      <c r="N19" s="58"/>
      <c r="O19" s="58"/>
      <c r="P19" s="44"/>
      <c r="Q19" s="156"/>
      <c r="R19" s="154"/>
      <c r="S19" s="225"/>
      <c r="T19" s="154"/>
      <c r="U19" s="158"/>
      <c r="V19" s="157"/>
      <c r="W19" s="151"/>
      <c r="X19" s="206"/>
      <c r="Y19" s="151"/>
      <c r="Z19" s="182"/>
      <c r="AA19" s="176"/>
      <c r="AB19" s="188"/>
      <c r="AC19" s="178"/>
      <c r="AD19" s="182"/>
      <c r="AE19" s="179"/>
      <c r="AF19" s="188"/>
      <c r="AG19" s="176"/>
      <c r="AH19" s="182"/>
      <c r="AI19" s="176"/>
      <c r="AJ19" s="188"/>
      <c r="AK19" s="176"/>
      <c r="AL19" s="182"/>
      <c r="AM19" s="176"/>
      <c r="AN19" s="188"/>
      <c r="AO19" s="206"/>
      <c r="AP19" s="188"/>
      <c r="AQ19" s="176"/>
      <c r="AR19" s="182"/>
      <c r="AS19" s="176"/>
      <c r="AT19" s="188"/>
      <c r="AU19" s="176"/>
      <c r="AV19" s="182"/>
      <c r="AW19" s="176"/>
      <c r="AX19" s="182"/>
      <c r="AY19" s="44"/>
      <c r="AZ19" s="44"/>
      <c r="BA19" s="161"/>
      <c r="BB19" s="161"/>
      <c r="BC19" s="191"/>
      <c r="BD19" s="192"/>
      <c r="BE19" s="164"/>
      <c r="BF19" s="165"/>
      <c r="BG19" s="165"/>
      <c r="BH19" s="165"/>
      <c r="BI19" s="165"/>
      <c r="BJ19" s="191"/>
      <c r="BK19" s="164"/>
      <c r="BL19" s="165"/>
      <c r="BM19" s="165"/>
      <c r="BN19" s="165"/>
      <c r="BO19" s="165"/>
      <c r="BP19" s="191"/>
      <c r="BQ19" s="164"/>
      <c r="BR19" s="165"/>
      <c r="BS19" s="165"/>
      <c r="BT19" s="165"/>
      <c r="BU19" s="165"/>
      <c r="BV19" s="191"/>
      <c r="BW19" s="164"/>
      <c r="BX19" s="165"/>
      <c r="BY19" s="165"/>
      <c r="BZ19" s="165"/>
      <c r="CA19" s="165"/>
      <c r="CB19" s="191"/>
      <c r="CC19" s="164"/>
      <c r="CD19" s="165"/>
      <c r="CE19" s="165"/>
      <c r="CF19" s="165"/>
      <c r="CG19" s="165"/>
      <c r="CH19" s="191"/>
      <c r="CI19" s="164"/>
      <c r="CJ19" s="165"/>
      <c r="CK19" s="165"/>
      <c r="CL19" s="165"/>
      <c r="CM19" s="165"/>
      <c r="CN19" s="191"/>
      <c r="CO19" s="164"/>
      <c r="CP19" s="165"/>
      <c r="CQ19" s="165"/>
      <c r="CR19" s="165"/>
      <c r="CS19" s="165"/>
      <c r="CT19" s="191"/>
      <c r="CU19" s="164"/>
      <c r="CV19" s="165"/>
      <c r="CW19" s="165"/>
      <c r="CX19" s="165"/>
      <c r="CY19" s="165"/>
      <c r="CZ19" s="191"/>
      <c r="DA19" s="164"/>
      <c r="DB19" s="165"/>
      <c r="DC19" s="165"/>
      <c r="DD19" s="165"/>
      <c r="DE19" s="191"/>
      <c r="DF19" s="164"/>
      <c r="DG19" s="161"/>
      <c r="DH19" s="161"/>
    </row>
    <row r="20" spans="1:112" ht="15.75" customHeight="1" x14ac:dyDescent="0.25">
      <c r="A20" s="58"/>
      <c r="B20" s="58"/>
      <c r="C20" s="58"/>
      <c r="D20" s="58"/>
      <c r="E20" s="58"/>
      <c r="F20" s="58"/>
      <c r="G20" s="58"/>
      <c r="H20" s="58"/>
      <c r="I20" s="58"/>
      <c r="J20" s="58"/>
      <c r="K20" s="58"/>
      <c r="L20" s="58"/>
      <c r="M20" s="58"/>
      <c r="N20" s="58"/>
      <c r="O20" s="58"/>
      <c r="P20" s="44"/>
      <c r="Q20" s="156" t="s">
        <v>4</v>
      </c>
      <c r="R20" s="154"/>
      <c r="S20" s="224" t="str">
        <f>VLOOKUP($S$16,'Infos &amp; Hilfseinträge'!$AS$4:$AX$48,3,FALSE)</f>
        <v>0-100</v>
      </c>
      <c r="T20" s="154"/>
      <c r="U20" s="171">
        <v>50</v>
      </c>
      <c r="V20" s="157" t="s">
        <v>232</v>
      </c>
      <c r="W20" s="151"/>
      <c r="X20" s="183">
        <f>(U20*$U$4-('Wasserversorger &amp; Aufbereitung'!AW15-'Wasserversorger &amp; Aufbereitung'!L15)-'Wasserversorger &amp; Aufbereitung'!G15*$U$4+'Wasserversorger &amp; Aufbereitung'!G15*Zielmengenrechner!$Z$8)/(VLOOKUP($X$9,'Infos &amp; Hilfseinträge'!$V$7:$AB$22,4,FALSE)-'Wasserversorger &amp; Aufbereitung'!G15)</f>
        <v>-78.305084745762713</v>
      </c>
      <c r="Y20" s="151"/>
      <c r="Z20" s="175" t="str">
        <f>IF(U20&lt;'Wasserversorger &amp; Aufbereitung'!BK15,(1-(U20/'Wasserversorger &amp; Aufbereitung'!BK15))*'Wasserversorger &amp; Aufbereitung'!$L$4,"X")</f>
        <v>X</v>
      </c>
      <c r="AA20" s="176"/>
      <c r="AB20" s="177"/>
      <c r="AC20" s="178"/>
      <c r="AD20" s="177"/>
      <c r="AE20" s="179"/>
      <c r="AF20" s="177"/>
      <c r="AG20" s="176"/>
      <c r="AH20" s="177"/>
      <c r="AI20" s="176"/>
      <c r="AJ20" s="183">
        <f>IF(U20&gt;'Wasserversorger &amp; Aufbereitung'!BK15,(U20*'Wasserversorger &amp; Aufbereitung'!$L$4-'Wasserversorger &amp; Aufbereitung'!BK15*'Wasserversorger &amp; Aufbereitung'!$L$4)/1000/IF(AJ6="[g]",1,'Wasserversorger &amp; Aufbereitung'!AA8)*100/'Wasserversorger &amp; Aufbereitung'!AA6*36.5/35.5,"X")</f>
        <v>9.5002816901408451</v>
      </c>
      <c r="AK20" s="176"/>
      <c r="AL20" s="177"/>
      <c r="AM20" s="176"/>
      <c r="AN20" s="181">
        <f>IF(U20&gt;'Wasserversorger &amp; Aufbereitung'!BK15,(U20*'Wasserversorger &amp; Aufbereitung'!$L$4-'Wasserversorger &amp; Aufbereitung'!BK15*'Wasserversorger &amp; Aufbereitung'!$L$4)/482.28,"X")</f>
        <v>1.9158994774819609</v>
      </c>
      <c r="AO20" s="206"/>
      <c r="AP20" s="181">
        <f>IF(U20&gt;'Wasserversorger &amp; Aufbereitung'!BK15,(U20*'Wasserversorger &amp; Aufbereitung'!$L$4-'Wasserversorger &amp; Aufbereitung'!BK15*'Wasserversorger &amp; Aufbereitung'!$L$4)/70.906*IF(AP6="[g]",'Wasserversorger &amp; Aufbereitung'!AK8,1)/'Wasserversorger &amp; Aufbereitung'!AK7,"X")</f>
        <v>3.3328228295189701</v>
      </c>
      <c r="AQ20" s="176"/>
      <c r="AR20" s="180">
        <f>IF(U20&gt;'Wasserversorger &amp; Aufbereitung'!BK15,(U20*'Wasserversorger &amp; Aufbereitung'!$L$4-'Wasserversorger &amp; Aufbereitung'!BK15*'Wasserversorger &amp; Aufbereitung'!$L$4)/174.39,"X")</f>
        <v>5.2984689489076215</v>
      </c>
      <c r="AS20" s="176"/>
      <c r="AT20" s="177"/>
      <c r="AU20" s="176"/>
      <c r="AV20" s="180">
        <f>IF(U20&gt;'Wasserversorger &amp; Aufbereitung'!BK15,(U20*'Wasserversorger &amp; Aufbereitung'!$L$4-'Wasserversorger &amp; Aufbereitung'!BK15*'Wasserversorger &amp; Aufbereitung'!$L$4)/606.66,"X")</f>
        <v>1.5230936603698944</v>
      </c>
      <c r="AW20" s="176"/>
      <c r="AX20" s="177"/>
      <c r="AY20" s="44"/>
      <c r="AZ20" s="44"/>
      <c r="BA20" s="161"/>
      <c r="BB20" s="167" t="s">
        <v>41</v>
      </c>
      <c r="BC20" s="191"/>
      <c r="BD20" s="192" t="s">
        <v>46</v>
      </c>
      <c r="BE20" s="164">
        <f>'Wasserversorger &amp; Aufbereitung'!$BK$15</f>
        <v>17</v>
      </c>
      <c r="BF20" s="165"/>
      <c r="BG20" s="165" t="s">
        <v>45</v>
      </c>
      <c r="BH20" s="165">
        <f>'Wasserversorger &amp; Aufbereitung'!$BK$15</f>
        <v>17</v>
      </c>
      <c r="BI20" s="165"/>
      <c r="BJ20" s="191" t="s">
        <v>46</v>
      </c>
      <c r="BK20" s="164">
        <f>'Wasserversorger &amp; Aufbereitung'!$BK$15</f>
        <v>17</v>
      </c>
      <c r="BL20" s="165"/>
      <c r="BM20" s="165" t="s">
        <v>46</v>
      </c>
      <c r="BN20" s="165">
        <f>'Wasserversorger &amp; Aufbereitung'!$BK$15</f>
        <v>17</v>
      </c>
      <c r="BO20" s="165"/>
      <c r="BP20" s="191" t="s">
        <v>54</v>
      </c>
      <c r="BQ20" s="164">
        <f>'Wasserversorger &amp; Aufbereitung'!$BK$15</f>
        <v>17</v>
      </c>
      <c r="BR20" s="165"/>
      <c r="BS20" s="165" t="s">
        <v>54</v>
      </c>
      <c r="BT20" s="165">
        <f>'Wasserversorger &amp; Aufbereitung'!$BK$15</f>
        <v>17</v>
      </c>
      <c r="BU20" s="165"/>
      <c r="BV20" s="191" t="s">
        <v>54</v>
      </c>
      <c r="BW20" s="164">
        <f>'Wasserversorger &amp; Aufbereitung'!$BK$15</f>
        <v>17</v>
      </c>
      <c r="BX20" s="165"/>
      <c r="BY20" s="165" t="s">
        <v>46</v>
      </c>
      <c r="BZ20" s="165">
        <f>'Wasserversorger &amp; Aufbereitung'!$BK$15</f>
        <v>17</v>
      </c>
      <c r="CA20" s="165"/>
      <c r="CB20" s="191" t="s">
        <v>46</v>
      </c>
      <c r="CC20" s="164">
        <f>'Wasserversorger &amp; Aufbereitung'!$BK$15</f>
        <v>17</v>
      </c>
      <c r="CD20" s="165"/>
      <c r="CE20" s="165" t="s">
        <v>46</v>
      </c>
      <c r="CF20" s="165">
        <f>'Wasserversorger &amp; Aufbereitung'!$BK$15</f>
        <v>17</v>
      </c>
      <c r="CG20" s="165"/>
      <c r="CH20" s="191" t="s">
        <v>46</v>
      </c>
      <c r="CI20" s="164">
        <f>'Wasserversorger &amp; Aufbereitung'!$BK$15</f>
        <v>17</v>
      </c>
      <c r="CJ20" s="165"/>
      <c r="CK20" s="165" t="s">
        <v>46</v>
      </c>
      <c r="CL20" s="165">
        <f>'Wasserversorger &amp; Aufbereitung'!$BK$15</f>
        <v>17</v>
      </c>
      <c r="CM20" s="165"/>
      <c r="CN20" s="191" t="s">
        <v>61</v>
      </c>
      <c r="CO20" s="164">
        <f>'Wasserversorger &amp; Aufbereitung'!$BK$15</f>
        <v>17</v>
      </c>
      <c r="CP20" s="165"/>
      <c r="CQ20" s="165" t="s">
        <v>61</v>
      </c>
      <c r="CR20" s="165">
        <f>'Wasserversorger &amp; Aufbereitung'!$BK$15</f>
        <v>17</v>
      </c>
      <c r="CS20" s="165"/>
      <c r="CT20" s="191" t="s">
        <v>46</v>
      </c>
      <c r="CU20" s="164">
        <f>'Wasserversorger &amp; Aufbereitung'!$BK$15</f>
        <v>17</v>
      </c>
      <c r="CV20" s="165"/>
      <c r="CW20" s="165" t="s">
        <v>54</v>
      </c>
      <c r="CX20" s="165">
        <f>'Wasserversorger &amp; Aufbereitung'!$BK$15</f>
        <v>17</v>
      </c>
      <c r="CY20" s="165"/>
      <c r="CZ20" s="191" t="s">
        <v>46</v>
      </c>
      <c r="DA20" s="164">
        <f>'Wasserversorger &amp; Aufbereitung'!$BK$15</f>
        <v>17</v>
      </c>
      <c r="DB20" s="165"/>
      <c r="DC20" s="165" t="s">
        <v>54</v>
      </c>
      <c r="DD20" s="165">
        <f>'Wasserversorger &amp; Aufbereitung'!$BK$15</f>
        <v>17</v>
      </c>
      <c r="DE20" s="191" t="s">
        <v>54</v>
      </c>
      <c r="DF20" s="164">
        <f>'Wasserversorger &amp; Aufbereitung'!$BK$15</f>
        <v>17</v>
      </c>
      <c r="DG20" s="161"/>
      <c r="DH20" s="161"/>
    </row>
    <row r="21" spans="1:112" ht="22.5" customHeight="1" x14ac:dyDescent="0.3">
      <c r="A21" s="58"/>
      <c r="B21" s="59" t="s">
        <v>170</v>
      </c>
      <c r="C21" s="58"/>
      <c r="D21" s="58"/>
      <c r="E21" s="58"/>
      <c r="F21" s="58"/>
      <c r="G21" s="60"/>
      <c r="H21" s="58"/>
      <c r="I21" s="58"/>
      <c r="J21" s="58"/>
      <c r="K21" s="58"/>
      <c r="L21" s="58"/>
      <c r="M21" s="61"/>
      <c r="N21" s="58"/>
      <c r="O21" s="58"/>
      <c r="P21" s="44"/>
      <c r="Q21" s="156"/>
      <c r="R21" s="154"/>
      <c r="S21" s="225"/>
      <c r="T21" s="154"/>
      <c r="U21" s="158"/>
      <c r="V21" s="157"/>
      <c r="W21" s="151"/>
      <c r="X21" s="206"/>
      <c r="Y21" s="151"/>
      <c r="Z21" s="182"/>
      <c r="AA21" s="176"/>
      <c r="AB21" s="188"/>
      <c r="AC21" s="178"/>
      <c r="AD21" s="182"/>
      <c r="AE21" s="179"/>
      <c r="AF21" s="188"/>
      <c r="AG21" s="176"/>
      <c r="AH21" s="182"/>
      <c r="AI21" s="176"/>
      <c r="AJ21" s="188"/>
      <c r="AK21" s="176"/>
      <c r="AL21" s="182"/>
      <c r="AM21" s="176"/>
      <c r="AN21" s="188"/>
      <c r="AO21" s="206"/>
      <c r="AP21" s="188"/>
      <c r="AQ21" s="176"/>
      <c r="AR21" s="182"/>
      <c r="AS21" s="176"/>
      <c r="AT21" s="188"/>
      <c r="AU21" s="176"/>
      <c r="AV21" s="182"/>
      <c r="AW21" s="176"/>
      <c r="AX21" s="182"/>
      <c r="AY21" s="44"/>
      <c r="AZ21" s="44"/>
      <c r="BA21" s="161"/>
      <c r="BB21" s="161"/>
      <c r="BC21" s="191"/>
      <c r="BD21" s="192"/>
      <c r="BE21" s="164"/>
      <c r="BF21" s="165"/>
      <c r="BG21" s="165"/>
      <c r="BH21" s="165"/>
      <c r="BI21" s="165"/>
      <c r="BJ21" s="191"/>
      <c r="BK21" s="164"/>
      <c r="BL21" s="165"/>
      <c r="BM21" s="165"/>
      <c r="BN21" s="165"/>
      <c r="BO21" s="165"/>
      <c r="BP21" s="191"/>
      <c r="BQ21" s="164"/>
      <c r="BR21" s="165"/>
      <c r="BS21" s="165"/>
      <c r="BT21" s="165"/>
      <c r="BU21" s="165"/>
      <c r="BV21" s="191"/>
      <c r="BW21" s="164"/>
      <c r="BX21" s="165"/>
      <c r="BY21" s="165"/>
      <c r="BZ21" s="165"/>
      <c r="CA21" s="165"/>
      <c r="CB21" s="191"/>
      <c r="CC21" s="164"/>
      <c r="CD21" s="165"/>
      <c r="CE21" s="165"/>
      <c r="CF21" s="165"/>
      <c r="CG21" s="165"/>
      <c r="CH21" s="191"/>
      <c r="CI21" s="164"/>
      <c r="CJ21" s="165"/>
      <c r="CK21" s="165"/>
      <c r="CL21" s="165"/>
      <c r="CM21" s="165"/>
      <c r="CN21" s="191"/>
      <c r="CO21" s="164"/>
      <c r="CP21" s="165"/>
      <c r="CQ21" s="165"/>
      <c r="CR21" s="165"/>
      <c r="CS21" s="165"/>
      <c r="CT21" s="191"/>
      <c r="CU21" s="164"/>
      <c r="CV21" s="165"/>
      <c r="CW21" s="165"/>
      <c r="CX21" s="165"/>
      <c r="CY21" s="165"/>
      <c r="CZ21" s="191"/>
      <c r="DA21" s="164"/>
      <c r="DB21" s="165"/>
      <c r="DC21" s="165"/>
      <c r="DD21" s="165"/>
      <c r="DE21" s="191"/>
      <c r="DF21" s="164"/>
      <c r="DG21" s="161"/>
      <c r="DH21" s="161"/>
    </row>
    <row r="22" spans="1:112" ht="15.75" x14ac:dyDescent="0.25">
      <c r="A22" s="58"/>
      <c r="B22" s="58"/>
      <c r="C22" s="58"/>
      <c r="D22" s="58"/>
      <c r="E22" s="58"/>
      <c r="F22" s="58"/>
      <c r="G22" s="58"/>
      <c r="H22" s="58"/>
      <c r="I22" s="58"/>
      <c r="J22" s="58"/>
      <c r="K22" s="58"/>
      <c r="L22" s="58"/>
      <c r="M22" s="58"/>
      <c r="N22" s="58"/>
      <c r="O22" s="58"/>
      <c r="P22" s="44"/>
      <c r="Q22" s="156" t="s">
        <v>5</v>
      </c>
      <c r="R22" s="154"/>
      <c r="S22" s="224" t="str">
        <f>VLOOKUP($S$16,'Infos &amp; Hilfseinträge'!$AS$4:$AX$48,4,FALSE)</f>
        <v>50-150</v>
      </c>
      <c r="T22" s="154"/>
      <c r="U22" s="171">
        <v>100</v>
      </c>
      <c r="V22" s="157" t="s">
        <v>232</v>
      </c>
      <c r="W22" s="151"/>
      <c r="X22" s="183">
        <f>(U22*$U$4-('Wasserversorger &amp; Aufbereitung'!AW20-'Wasserversorger &amp; Aufbereitung'!L20)-'Wasserversorger &amp; Aufbereitung'!G20*$U$4+'Wasserversorger &amp; Aufbereitung'!G20*Zielmengenrechner!$Z$8)/(VLOOKUP($X$9,'Infos &amp; Hilfseinträge'!$V$7:$AB$22,5,FALSE)-'Wasserversorger &amp; Aufbereitung'!G20)</f>
        <v>367.99999999999994</v>
      </c>
      <c r="Y22" s="151"/>
      <c r="Z22" s="180" t="str">
        <f>IF(U22&lt;'Wasserversorger &amp; Aufbereitung'!BK20,(1-(U22/'Wasserversorger &amp; Aufbereitung'!BK20))*'Wasserversorger &amp; Aufbereitung'!$L$4,"X")</f>
        <v>X</v>
      </c>
      <c r="AA22" s="176"/>
      <c r="AB22" s="177"/>
      <c r="AC22" s="178"/>
      <c r="AD22" s="177"/>
      <c r="AE22" s="179"/>
      <c r="AF22" s="177"/>
      <c r="AG22" s="176"/>
      <c r="AH22" s="177"/>
      <c r="AI22" s="176"/>
      <c r="AJ22" s="177"/>
      <c r="AK22" s="176"/>
      <c r="AL22" s="180">
        <f>IF(U22&gt;'Wasserversorger &amp; Aufbereitung'!BK20,(U22*'Wasserversorger &amp; Aufbereitung'!$L$4-'Wasserversorger &amp; Aufbereitung'!BK20*'Wasserversorger &amp; Aufbereitung'!$L$4)/232.78,"X")</f>
        <v>8.8529942434917093</v>
      </c>
      <c r="AM22" s="176"/>
      <c r="AN22" s="181">
        <f>IF(U22&gt;'Wasserversorger &amp; Aufbereitung'!BK20,(U22*'Wasserversorger &amp; Aufbereitung'!$L$4-'Wasserversorger &amp; Aufbereitung'!BK20*'Wasserversorger &amp; Aufbereitung'!$L$4)/272.6,"X")</f>
        <v>7.5597945707997063</v>
      </c>
      <c r="AO22" s="206"/>
      <c r="AP22" s="181">
        <f>IF(U22&gt;'Wasserversorger &amp; Aufbereitung'!BK20,(U22*'Wasserversorger &amp; Aufbereitung'!$L$4-'Wasserversorger &amp; Aufbereitung'!BK20*'Wasserversorger &amp; Aufbereitung'!$L$4)/40.078*IF(AP6="[g]",'Wasserversorger &amp; Aufbereitung'!AK8,1)/'Wasserversorger &amp; Aufbereitung'!AK7,"X")</f>
        <v>13.150826476605911</v>
      </c>
      <c r="AQ22" s="176"/>
      <c r="AR22" s="177"/>
      <c r="AS22" s="176"/>
      <c r="AT22" s="177"/>
      <c r="AU22" s="176"/>
      <c r="AV22" s="177"/>
      <c r="AW22" s="176"/>
      <c r="AX22" s="177"/>
      <c r="AY22" s="44"/>
      <c r="AZ22" s="44"/>
      <c r="BA22" s="161"/>
      <c r="BB22" s="167" t="s">
        <v>37</v>
      </c>
      <c r="BC22" s="191"/>
      <c r="BD22" s="192" t="s">
        <v>247</v>
      </c>
      <c r="BE22" s="164">
        <f>'Wasserversorger &amp; Aufbereitung'!$BK$20</f>
        <v>26.4</v>
      </c>
      <c r="BF22" s="165"/>
      <c r="BG22" s="165" t="s">
        <v>50</v>
      </c>
      <c r="BH22" s="165">
        <f>'Wasserversorger &amp; Aufbereitung'!$BK$20</f>
        <v>26.4</v>
      </c>
      <c r="BI22" s="165"/>
      <c r="BJ22" s="191" t="s">
        <v>53</v>
      </c>
      <c r="BK22" s="168">
        <f>'Wasserversorger &amp; Aufbereitung'!$BK$20</f>
        <v>26.4</v>
      </c>
      <c r="BL22" s="165"/>
      <c r="BM22" s="165" t="s">
        <v>57</v>
      </c>
      <c r="BN22" s="169">
        <f>'Wasserversorger &amp; Aufbereitung'!$BK$20</f>
        <v>26.4</v>
      </c>
      <c r="BO22" s="165"/>
      <c r="BP22" s="191" t="s">
        <v>53</v>
      </c>
      <c r="BQ22" s="168">
        <f>'Wasserversorger &amp; Aufbereitung'!$BK$20</f>
        <v>26.4</v>
      </c>
      <c r="BR22" s="165"/>
      <c r="BS22" s="165" t="s">
        <v>53</v>
      </c>
      <c r="BT22" s="169">
        <f>'Wasserversorger &amp; Aufbereitung'!$BK$20</f>
        <v>26.4</v>
      </c>
      <c r="BU22" s="165"/>
      <c r="BV22" s="191" t="s">
        <v>53</v>
      </c>
      <c r="BW22" s="168">
        <f>'Wasserversorger &amp; Aufbereitung'!$BK$20</f>
        <v>26.4</v>
      </c>
      <c r="BX22" s="165"/>
      <c r="BY22" s="165" t="s">
        <v>46</v>
      </c>
      <c r="BZ22" s="169">
        <f>'Wasserversorger &amp; Aufbereitung'!$BK$20</f>
        <v>26.4</v>
      </c>
      <c r="CA22" s="165"/>
      <c r="CB22" s="191" t="s">
        <v>46</v>
      </c>
      <c r="CC22" s="168">
        <f>'Wasserversorger &amp; Aufbereitung'!$BK$20</f>
        <v>26.4</v>
      </c>
      <c r="CD22" s="165"/>
      <c r="CE22" s="165" t="s">
        <v>54</v>
      </c>
      <c r="CF22" s="169">
        <f>'Wasserversorger &amp; Aufbereitung'!$BK$20</f>
        <v>26.4</v>
      </c>
      <c r="CG22" s="165"/>
      <c r="CH22" s="191" t="s">
        <v>53</v>
      </c>
      <c r="CI22" s="168">
        <f>'Wasserversorger &amp; Aufbereitung'!$BK$20</f>
        <v>26.4</v>
      </c>
      <c r="CJ22" s="165"/>
      <c r="CK22" s="165" t="s">
        <v>46</v>
      </c>
      <c r="CL22" s="169">
        <f>'Wasserversorger &amp; Aufbereitung'!$BK$20</f>
        <v>26.4</v>
      </c>
      <c r="CM22" s="165"/>
      <c r="CN22" s="191" t="s">
        <v>46</v>
      </c>
      <c r="CO22" s="168">
        <f>'Wasserversorger &amp; Aufbereitung'!$BK$20</f>
        <v>26.4</v>
      </c>
      <c r="CP22" s="165"/>
      <c r="CQ22" s="165" t="s">
        <v>54</v>
      </c>
      <c r="CR22" s="169">
        <f>'Wasserversorger &amp; Aufbereitung'!$BK$20</f>
        <v>26.4</v>
      </c>
      <c r="CS22" s="165"/>
      <c r="CT22" s="191" t="s">
        <v>54</v>
      </c>
      <c r="CU22" s="168">
        <f>'Wasserversorger &amp; Aufbereitung'!$BK$20</f>
        <v>26.4</v>
      </c>
      <c r="CV22" s="165"/>
      <c r="CW22" s="165" t="s">
        <v>53</v>
      </c>
      <c r="CX22" s="169">
        <f>'Wasserversorger &amp; Aufbereitung'!$BK$20</f>
        <v>26.4</v>
      </c>
      <c r="CY22" s="165"/>
      <c r="CZ22" s="191" t="s">
        <v>46</v>
      </c>
      <c r="DA22" s="168">
        <f>'Wasserversorger &amp; Aufbereitung'!$BK$20</f>
        <v>26.4</v>
      </c>
      <c r="DB22" s="165"/>
      <c r="DC22" s="165" t="s">
        <v>46</v>
      </c>
      <c r="DD22" s="169">
        <f>'Wasserversorger &amp; Aufbereitung'!$BK$20</f>
        <v>26.4</v>
      </c>
      <c r="DE22" s="191" t="s">
        <v>53</v>
      </c>
      <c r="DF22" s="168">
        <f>'Wasserversorger &amp; Aufbereitung'!$BK$20</f>
        <v>26.4</v>
      </c>
      <c r="DG22" s="169"/>
      <c r="DH22" s="169"/>
    </row>
    <row r="23" spans="1:112" ht="22.5" customHeight="1" x14ac:dyDescent="0.25">
      <c r="A23" s="58"/>
      <c r="B23" s="58"/>
      <c r="C23" s="58"/>
      <c r="D23" s="58"/>
      <c r="E23" s="58"/>
      <c r="F23" s="58"/>
      <c r="G23" s="58"/>
      <c r="H23" s="58"/>
      <c r="I23" s="58"/>
      <c r="J23" s="58"/>
      <c r="K23" s="58"/>
      <c r="L23" s="58"/>
      <c r="M23" s="58"/>
      <c r="N23" s="58"/>
      <c r="O23" s="58"/>
      <c r="P23" s="44"/>
      <c r="Q23" s="156"/>
      <c r="R23" s="154"/>
      <c r="S23" s="225"/>
      <c r="T23" s="154"/>
      <c r="U23" s="158"/>
      <c r="V23" s="157"/>
      <c r="W23" s="151"/>
      <c r="X23" s="206"/>
      <c r="Y23" s="151"/>
      <c r="Z23" s="182"/>
      <c r="AA23" s="176"/>
      <c r="AB23" s="188"/>
      <c r="AC23" s="178"/>
      <c r="AD23" s="182"/>
      <c r="AE23" s="179"/>
      <c r="AF23" s="188"/>
      <c r="AG23" s="176"/>
      <c r="AH23" s="182"/>
      <c r="AI23" s="176"/>
      <c r="AJ23" s="188"/>
      <c r="AK23" s="176"/>
      <c r="AL23" s="182"/>
      <c r="AM23" s="176"/>
      <c r="AN23" s="188"/>
      <c r="AO23" s="206"/>
      <c r="AP23" s="188"/>
      <c r="AQ23" s="176"/>
      <c r="AR23" s="182"/>
      <c r="AS23" s="176"/>
      <c r="AT23" s="188"/>
      <c r="AU23" s="176"/>
      <c r="AV23" s="182"/>
      <c r="AW23" s="176"/>
      <c r="AX23" s="182"/>
      <c r="AY23" s="44"/>
      <c r="AZ23" s="44"/>
      <c r="BA23" s="169"/>
      <c r="BB23" s="161"/>
      <c r="BC23" s="191"/>
      <c r="BD23" s="192"/>
      <c r="BE23" s="164"/>
      <c r="BF23" s="165"/>
      <c r="BG23" s="165"/>
      <c r="BH23" s="165"/>
      <c r="BI23" s="165"/>
      <c r="BJ23" s="191"/>
      <c r="BK23" s="164"/>
      <c r="BL23" s="165"/>
      <c r="BM23" s="165"/>
      <c r="BN23" s="165"/>
      <c r="BO23" s="165"/>
      <c r="BP23" s="191"/>
      <c r="BQ23" s="164"/>
      <c r="BR23" s="165"/>
      <c r="BS23" s="165"/>
      <c r="BT23" s="165"/>
      <c r="BU23" s="165"/>
      <c r="BV23" s="191"/>
      <c r="BW23" s="164"/>
      <c r="BX23" s="165"/>
      <c r="BY23" s="165"/>
      <c r="BZ23" s="165"/>
      <c r="CA23" s="165"/>
      <c r="CB23" s="191"/>
      <c r="CC23" s="164"/>
      <c r="CD23" s="165"/>
      <c r="CE23" s="165"/>
      <c r="CF23" s="165"/>
      <c r="CG23" s="165"/>
      <c r="CH23" s="191"/>
      <c r="CI23" s="164"/>
      <c r="CJ23" s="165"/>
      <c r="CK23" s="165"/>
      <c r="CL23" s="165"/>
      <c r="CM23" s="165"/>
      <c r="CN23" s="191"/>
      <c r="CO23" s="164"/>
      <c r="CP23" s="165"/>
      <c r="CQ23" s="165"/>
      <c r="CR23" s="165"/>
      <c r="CS23" s="165"/>
      <c r="CT23" s="191"/>
      <c r="CU23" s="164"/>
      <c r="CV23" s="165"/>
      <c r="CW23" s="165"/>
      <c r="CX23" s="165"/>
      <c r="CY23" s="165"/>
      <c r="CZ23" s="191"/>
      <c r="DA23" s="164"/>
      <c r="DB23" s="165"/>
      <c r="DC23" s="165"/>
      <c r="DD23" s="165"/>
      <c r="DE23" s="191"/>
      <c r="DF23" s="164"/>
      <c r="DG23" s="165"/>
      <c r="DH23" s="165"/>
    </row>
    <row r="24" spans="1:112" ht="15.75" x14ac:dyDescent="0.25">
      <c r="A24" s="58"/>
      <c r="B24" s="58"/>
      <c r="C24" s="58"/>
      <c r="D24" s="58"/>
      <c r="E24" s="58"/>
      <c r="F24" s="58"/>
      <c r="G24" s="60"/>
      <c r="H24" s="58"/>
      <c r="I24" s="58"/>
      <c r="J24" s="58"/>
      <c r="K24" s="58"/>
      <c r="L24" s="58"/>
      <c r="M24" s="58"/>
      <c r="N24" s="58"/>
      <c r="O24" s="58"/>
      <c r="P24" s="44"/>
      <c r="Q24" s="156" t="s">
        <v>6</v>
      </c>
      <c r="R24" s="154"/>
      <c r="S24" s="224" t="str">
        <f>VLOOKUP($S$16,'Infos &amp; Hilfseinträge'!$AS$4:$AX$48,5,FALSE)</f>
        <v>0-20</v>
      </c>
      <c r="T24" s="154"/>
      <c r="U24" s="171">
        <v>10</v>
      </c>
      <c r="V24" s="157" t="s">
        <v>232</v>
      </c>
      <c r="W24" s="151"/>
      <c r="X24" s="183">
        <f>(U24*$U$4-('Wasserversorger &amp; Aufbereitung'!AW21-'Wasserversorger &amp; Aufbereitung'!L21)-'Wasserversorger &amp; Aufbereitung'!G21*$U$4+'Wasserversorger &amp; Aufbereitung'!G21*Zielmengenrechner!$Z$8)/(VLOOKUP($X$9,'Infos &amp; Hilfseinträge'!$V$7:$AB$22,6,FALSE)-'Wasserversorger &amp; Aufbereitung'!G21)</f>
        <v>4.6666666666666625</v>
      </c>
      <c r="Y24" s="151"/>
      <c r="Z24" s="175">
        <f>IF(U24&lt;'Wasserversorger &amp; Aufbereitung'!BK21,(1-(U24/'Wasserversorger &amp; Aufbereitung'!BK21))*'Wasserversorger &amp; Aufbereitung'!$L$4,"X")</f>
        <v>2.9999999999999987</v>
      </c>
      <c r="AA24" s="176"/>
      <c r="AB24" s="177"/>
      <c r="AC24" s="178"/>
      <c r="AD24" s="177"/>
      <c r="AE24" s="179"/>
      <c r="AF24" s="177"/>
      <c r="AG24" s="176"/>
      <c r="AH24" s="177"/>
      <c r="AI24" s="176"/>
      <c r="AJ24" s="177"/>
      <c r="AK24" s="176"/>
      <c r="AL24" s="177"/>
      <c r="AM24" s="176"/>
      <c r="AN24" s="177"/>
      <c r="AO24" s="206"/>
      <c r="AP24" s="177"/>
      <c r="AQ24" s="176"/>
      <c r="AR24" s="180" t="str">
        <f>IF(U24&gt;'Wasserversorger &amp; Aufbereitung'!BK21,(U24*'Wasserversorger &amp; Aufbereitung'!$L$4-'Wasserversorger &amp; Aufbereitung'!BK21*'Wasserversorger &amp; Aufbereitung'!$L$4)/119.53,"X")</f>
        <v>X</v>
      </c>
      <c r="AS24" s="176"/>
      <c r="AT24" s="181" t="str">
        <f>IF(U24&gt;'Wasserversorger &amp; Aufbereitung'!BK21,(U24*'Wasserversorger &amp; Aufbereitung'!$L$4-'Wasserversorger &amp; Aufbereitung'!BK21*'Wasserversorger &amp; Aufbereitung'!$L$4)/98.59,"X")</f>
        <v>X</v>
      </c>
      <c r="AU24" s="176"/>
      <c r="AV24" s="177"/>
      <c r="AW24" s="176"/>
      <c r="AX24" s="177"/>
      <c r="AY24" s="44"/>
      <c r="AZ24" s="44"/>
      <c r="BA24" s="165"/>
      <c r="BB24" s="167" t="s">
        <v>38</v>
      </c>
      <c r="BC24" s="191"/>
      <c r="BD24" s="192" t="s">
        <v>44</v>
      </c>
      <c r="BE24" s="164">
        <f>'Wasserversorger &amp; Aufbereitung'!$BK$21</f>
        <v>11.2</v>
      </c>
      <c r="BF24" s="165"/>
      <c r="BG24" s="165" t="s">
        <v>44</v>
      </c>
      <c r="BH24" s="165">
        <f>'Wasserversorger &amp; Aufbereitung'!$BK$21</f>
        <v>11.2</v>
      </c>
      <c r="BI24" s="165"/>
      <c r="BJ24" s="191" t="s">
        <v>44</v>
      </c>
      <c r="BK24" s="164">
        <f>'Wasserversorger &amp; Aufbereitung'!$BK$21</f>
        <v>11.2</v>
      </c>
      <c r="BL24" s="165"/>
      <c r="BM24" s="165" t="s">
        <v>44</v>
      </c>
      <c r="BN24" s="165">
        <f>'Wasserversorger &amp; Aufbereitung'!$BK$21</f>
        <v>11.2</v>
      </c>
      <c r="BO24" s="165"/>
      <c r="BP24" s="191" t="s">
        <v>60</v>
      </c>
      <c r="BQ24" s="164">
        <f>'Wasserversorger &amp; Aufbereitung'!$BK$21</f>
        <v>11.2</v>
      </c>
      <c r="BR24" s="165"/>
      <c r="BS24" s="165" t="s">
        <v>60</v>
      </c>
      <c r="BT24" s="165">
        <f>'Wasserversorger &amp; Aufbereitung'!$BK$21</f>
        <v>11.2</v>
      </c>
      <c r="BU24" s="165"/>
      <c r="BV24" s="191" t="s">
        <v>44</v>
      </c>
      <c r="BW24" s="164">
        <f>'Wasserversorger &amp; Aufbereitung'!$BK$21</f>
        <v>11.2</v>
      </c>
      <c r="BX24" s="165"/>
      <c r="BY24" s="165" t="s">
        <v>60</v>
      </c>
      <c r="BZ24" s="165">
        <f>'Wasserversorger &amp; Aufbereitung'!$BK$21</f>
        <v>11.2</v>
      </c>
      <c r="CA24" s="165"/>
      <c r="CB24" s="191" t="s">
        <v>60</v>
      </c>
      <c r="CC24" s="164">
        <f>'Wasserversorger &amp; Aufbereitung'!$BK$21</f>
        <v>11.2</v>
      </c>
      <c r="CD24" s="165"/>
      <c r="CE24" s="165" t="s">
        <v>60</v>
      </c>
      <c r="CF24" s="165">
        <f>'Wasserversorger &amp; Aufbereitung'!$BK$21</f>
        <v>11.2</v>
      </c>
      <c r="CG24" s="165"/>
      <c r="CH24" s="191" t="s">
        <v>72</v>
      </c>
      <c r="CI24" s="164">
        <f>'Wasserversorger &amp; Aufbereitung'!$BK$21</f>
        <v>11.2</v>
      </c>
      <c r="CJ24" s="165"/>
      <c r="CK24" s="165" t="s">
        <v>44</v>
      </c>
      <c r="CL24" s="165">
        <f>'Wasserversorger &amp; Aufbereitung'!$BK$21</f>
        <v>11.2</v>
      </c>
      <c r="CM24" s="165"/>
      <c r="CN24" s="191" t="s">
        <v>60</v>
      </c>
      <c r="CO24" s="164">
        <f>'Wasserversorger &amp; Aufbereitung'!$BK$21</f>
        <v>11.2</v>
      </c>
      <c r="CP24" s="165"/>
      <c r="CQ24" s="165" t="s">
        <v>44</v>
      </c>
      <c r="CR24" s="165">
        <f>'Wasserversorger &amp; Aufbereitung'!$BK$21</f>
        <v>11.2</v>
      </c>
      <c r="CS24" s="165"/>
      <c r="CT24" s="191" t="s">
        <v>60</v>
      </c>
      <c r="CU24" s="164">
        <f>'Wasserversorger &amp; Aufbereitung'!$BK$21</f>
        <v>11.2</v>
      </c>
      <c r="CV24" s="165"/>
      <c r="CW24" s="165" t="s">
        <v>72</v>
      </c>
      <c r="CX24" s="165">
        <f>'Wasserversorger &amp; Aufbereitung'!$BK$21</f>
        <v>11.2</v>
      </c>
      <c r="CY24" s="165"/>
      <c r="CZ24" s="191" t="s">
        <v>44</v>
      </c>
      <c r="DA24" s="164">
        <f>'Wasserversorger &amp; Aufbereitung'!$BK$21</f>
        <v>11.2</v>
      </c>
      <c r="DB24" s="165"/>
      <c r="DC24" s="165" t="s">
        <v>44</v>
      </c>
      <c r="DD24" s="165">
        <f>'Wasserversorger &amp; Aufbereitung'!$BK$21</f>
        <v>11.2</v>
      </c>
      <c r="DE24" s="191" t="s">
        <v>60</v>
      </c>
      <c r="DF24" s="164">
        <f>'Wasserversorger &amp; Aufbereitung'!$BK$21</f>
        <v>11.2</v>
      </c>
      <c r="DG24" s="161"/>
      <c r="DH24" s="161"/>
    </row>
    <row r="25" spans="1:112" ht="15.75" x14ac:dyDescent="0.25">
      <c r="A25" s="58"/>
      <c r="B25" s="58"/>
      <c r="C25" s="58"/>
      <c r="D25" s="58"/>
      <c r="E25" s="58"/>
      <c r="F25" s="58"/>
      <c r="G25" s="58"/>
      <c r="H25" s="58"/>
      <c r="I25" s="58"/>
      <c r="J25" s="58"/>
      <c r="K25" s="58"/>
      <c r="L25" s="58"/>
      <c r="M25" s="58"/>
      <c r="N25" s="58"/>
      <c r="O25" s="58"/>
      <c r="P25" s="44"/>
      <c r="Q25" s="159"/>
      <c r="R25" s="195"/>
      <c r="S25" s="225"/>
      <c r="T25" s="195"/>
      <c r="U25" s="158"/>
      <c r="V25" s="157"/>
      <c r="W25" s="151"/>
      <c r="X25" s="206"/>
      <c r="Y25" s="151"/>
      <c r="Z25" s="182"/>
      <c r="AA25" s="176"/>
      <c r="AB25" s="188"/>
      <c r="AC25" s="178"/>
      <c r="AD25" s="182"/>
      <c r="AE25" s="179"/>
      <c r="AF25" s="188"/>
      <c r="AG25" s="176"/>
      <c r="AH25" s="182"/>
      <c r="AI25" s="176"/>
      <c r="AJ25" s="188"/>
      <c r="AK25" s="176"/>
      <c r="AL25" s="182"/>
      <c r="AM25" s="176"/>
      <c r="AN25" s="188"/>
      <c r="AO25" s="206"/>
      <c r="AP25" s="188"/>
      <c r="AQ25" s="176"/>
      <c r="AR25" s="182"/>
      <c r="AS25" s="176"/>
      <c r="AT25" s="188"/>
      <c r="AU25" s="176"/>
      <c r="AV25" s="182"/>
      <c r="AW25" s="176"/>
      <c r="AX25" s="182"/>
      <c r="AY25" s="44"/>
      <c r="AZ25" s="44"/>
      <c r="BA25" s="161"/>
      <c r="BB25" s="161"/>
      <c r="BC25" s="191"/>
      <c r="BD25" s="192"/>
      <c r="BE25" s="164"/>
      <c r="BF25" s="165"/>
      <c r="BG25" s="165"/>
      <c r="BH25" s="165"/>
      <c r="BI25" s="165"/>
      <c r="BJ25" s="191"/>
      <c r="BK25" s="164"/>
      <c r="BL25" s="165"/>
      <c r="BM25" s="165"/>
      <c r="BN25" s="165"/>
      <c r="BO25" s="165"/>
      <c r="BP25" s="191"/>
      <c r="BQ25" s="164"/>
      <c r="BR25" s="165"/>
      <c r="BS25" s="165"/>
      <c r="BT25" s="165"/>
      <c r="BU25" s="165"/>
      <c r="BV25" s="191"/>
      <c r="BW25" s="164"/>
      <c r="BX25" s="165"/>
      <c r="BY25" s="165"/>
      <c r="BZ25" s="165"/>
      <c r="CA25" s="165"/>
      <c r="CB25" s="191"/>
      <c r="CC25" s="164"/>
      <c r="CD25" s="165"/>
      <c r="CE25" s="165"/>
      <c r="CF25" s="165"/>
      <c r="CG25" s="165"/>
      <c r="CH25" s="191"/>
      <c r="CI25" s="164"/>
      <c r="CJ25" s="165"/>
      <c r="CK25" s="165"/>
      <c r="CL25" s="165"/>
      <c r="CM25" s="165"/>
      <c r="CN25" s="191"/>
      <c r="CO25" s="164"/>
      <c r="CP25" s="165"/>
      <c r="CQ25" s="165"/>
      <c r="CR25" s="165"/>
      <c r="CS25" s="165"/>
      <c r="CT25" s="191"/>
      <c r="CU25" s="164"/>
      <c r="CV25" s="165"/>
      <c r="CW25" s="165"/>
      <c r="CX25" s="165"/>
      <c r="CY25" s="165"/>
      <c r="CZ25" s="191"/>
      <c r="DA25" s="164"/>
      <c r="DB25" s="165"/>
      <c r="DC25" s="165"/>
      <c r="DD25" s="165"/>
      <c r="DE25" s="191"/>
      <c r="DF25" s="164"/>
      <c r="DG25" s="161"/>
      <c r="DH25" s="161"/>
    </row>
    <row r="26" spans="1:112" ht="22.5" customHeight="1" x14ac:dyDescent="0.25">
      <c r="A26" s="58"/>
      <c r="B26" s="58"/>
      <c r="C26" s="58"/>
      <c r="D26" s="58"/>
      <c r="E26" s="58"/>
      <c r="F26" s="58"/>
      <c r="G26" s="58"/>
      <c r="H26" s="58"/>
      <c r="I26" s="58"/>
      <c r="J26" s="58"/>
      <c r="K26" s="58"/>
      <c r="L26" s="58"/>
      <c r="M26" s="58"/>
      <c r="N26" s="58"/>
      <c r="O26" s="58"/>
      <c r="P26" s="44"/>
      <c r="Q26" s="159"/>
      <c r="R26" s="195"/>
      <c r="S26" s="225"/>
      <c r="T26" s="195"/>
      <c r="U26" s="160"/>
      <c r="V26" s="157"/>
      <c r="W26" s="151"/>
      <c r="X26" s="206"/>
      <c r="Y26" s="151"/>
      <c r="Z26" s="182"/>
      <c r="AA26" s="176"/>
      <c r="AB26" s="188"/>
      <c r="AC26" s="178"/>
      <c r="AD26" s="182"/>
      <c r="AE26" s="179"/>
      <c r="AF26" s="188"/>
      <c r="AG26" s="176"/>
      <c r="AH26" s="182"/>
      <c r="AI26" s="176"/>
      <c r="AJ26" s="188"/>
      <c r="AK26" s="176"/>
      <c r="AL26" s="182"/>
      <c r="AM26" s="176"/>
      <c r="AN26" s="188"/>
      <c r="AO26" s="206"/>
      <c r="AP26" s="188"/>
      <c r="AQ26" s="176"/>
      <c r="AR26" s="182"/>
      <c r="AS26" s="176"/>
      <c r="AT26" s="188"/>
      <c r="AU26" s="176"/>
      <c r="AV26" s="182"/>
      <c r="AW26" s="176"/>
      <c r="AX26" s="182"/>
      <c r="AY26" s="44"/>
      <c r="AZ26" s="44"/>
      <c r="BA26" s="161"/>
      <c r="BB26" s="161"/>
      <c r="BC26" s="191"/>
      <c r="BD26" s="192"/>
      <c r="BE26" s="164"/>
      <c r="BF26" s="165"/>
      <c r="BG26" s="165"/>
      <c r="BH26" s="165"/>
      <c r="BI26" s="165"/>
      <c r="BJ26" s="191"/>
      <c r="BK26" s="164"/>
      <c r="BL26" s="165"/>
      <c r="BM26" s="165"/>
      <c r="BN26" s="165"/>
      <c r="BO26" s="165"/>
      <c r="BP26" s="191"/>
      <c r="BQ26" s="164"/>
      <c r="BR26" s="165"/>
      <c r="BS26" s="165"/>
      <c r="BT26" s="165"/>
      <c r="BU26" s="165"/>
      <c r="BV26" s="191"/>
      <c r="BW26" s="164"/>
      <c r="BX26" s="165"/>
      <c r="BY26" s="165"/>
      <c r="BZ26" s="165"/>
      <c r="CA26" s="165"/>
      <c r="CB26" s="191"/>
      <c r="CC26" s="164"/>
      <c r="CD26" s="165"/>
      <c r="CE26" s="165"/>
      <c r="CF26" s="165"/>
      <c r="CG26" s="165"/>
      <c r="CH26" s="191"/>
      <c r="CI26" s="164"/>
      <c r="CJ26" s="165"/>
      <c r="CK26" s="165"/>
      <c r="CL26" s="165"/>
      <c r="CM26" s="165"/>
      <c r="CN26" s="191"/>
      <c r="CO26" s="164"/>
      <c r="CP26" s="165"/>
      <c r="CQ26" s="165"/>
      <c r="CR26" s="165"/>
      <c r="CS26" s="165"/>
      <c r="CT26" s="191"/>
      <c r="CU26" s="164"/>
      <c r="CV26" s="165"/>
      <c r="CW26" s="165"/>
      <c r="CX26" s="165"/>
      <c r="CY26" s="165"/>
      <c r="CZ26" s="191"/>
      <c r="DA26" s="164"/>
      <c r="DB26" s="165"/>
      <c r="DC26" s="165"/>
      <c r="DD26" s="165"/>
      <c r="DE26" s="191"/>
      <c r="DF26" s="164"/>
      <c r="DG26" s="161"/>
      <c r="DH26" s="161"/>
    </row>
    <row r="27" spans="1:112" ht="15" customHeight="1" x14ac:dyDescent="0.25">
      <c r="A27" s="58"/>
      <c r="B27" s="58"/>
      <c r="C27" s="58"/>
      <c r="D27" s="58"/>
      <c r="E27" s="58"/>
      <c r="F27" s="58"/>
      <c r="G27" s="58"/>
      <c r="H27" s="58"/>
      <c r="I27" s="58"/>
      <c r="J27" s="58"/>
      <c r="K27" s="58"/>
      <c r="L27" s="58"/>
      <c r="M27" s="58"/>
      <c r="N27" s="58"/>
      <c r="O27" s="58"/>
      <c r="P27" s="44"/>
      <c r="Q27" s="156" t="s">
        <v>24</v>
      </c>
      <c r="R27" s="154"/>
      <c r="S27" s="225"/>
      <c r="T27" s="154"/>
      <c r="U27" s="171">
        <v>0.3</v>
      </c>
      <c r="V27" s="157"/>
      <c r="W27" s="151"/>
      <c r="X27" s="237" t="s">
        <v>361</v>
      </c>
      <c r="Y27" s="151"/>
      <c r="Z27" s="177"/>
      <c r="AA27" s="176"/>
      <c r="AB27" s="184">
        <f>IF(U27&lt;'Wasserversorger &amp; Aufbereitung'!BK28,('Wasserversorger &amp; Aufbereitung'!BK12*'Wasserversorger &amp; Aufbereitung'!L4-($U$27*('Wasserversorger &amp; Aufbereitung'!BK20/7.14*'Wasserversorger &amp; Aufbereitung'!L4+'Wasserversorger &amp; Aufbereitung'!BK21/4.35*'Wasserversorger &amp; Aufbereitung'!L4))/((1+$U$27)*2.8))*'Wasserversorger &amp; Aufbereitung'!O7/1000/IF(AB6="[g]",1,'Wasserversorger &amp; Aufbereitung'!O8)/'Wasserversorger &amp; Aufbereitung'!O6*100,"X")</f>
        <v>2.8314055782651955</v>
      </c>
      <c r="AC27" s="178"/>
      <c r="AD27" s="185">
        <f>IF(U27&lt;'Wasserversorger &amp; Aufbereitung'!BK28,('Wasserversorger &amp; Aufbereitung'!BK12*'Wasserversorger &amp; Aufbereitung'!L4-($U$27*('Wasserversorger &amp; Aufbereitung'!BK20/7.14*'Wasserversorger &amp; Aufbereitung'!L4+'Wasserversorger &amp; Aufbereitung'!BK21/4.35*'Wasserversorger &amp; Aufbereitung'!L4))/((1+$U$27)*2.8))*'Wasserversorger &amp; Aufbereitung'!R7/1000/0.02,"X")</f>
        <v>136.58700509551304</v>
      </c>
      <c r="AE27" s="179"/>
      <c r="AF27" s="184">
        <f>IF(U27&lt;'Wasserversorger &amp; Aufbereitung'!BK28,('Wasserversorger &amp; Aufbereitung'!BK12*'Wasserversorger &amp; Aufbereitung'!L4-($U$27*('Wasserversorger &amp; Aufbereitung'!BK20/7.14*'Wasserversorger &amp; Aufbereitung'!L4+'Wasserversorger &amp; Aufbereitung'!BK21/4.35*'Wasserversorger &amp; Aufbereitung'!L4))/((1+$U$27)*2.8))*'Wasserversorger &amp; Aufbereitung'!U7/1000/IF(AF6="[g]",1,'Wasserversorger &amp; Aufbereitung'!U8)/'Wasserversorger &amp; Aufbereitung'!U6*100,"X")</f>
        <v>29.719197378686228</v>
      </c>
      <c r="AG27" s="176"/>
      <c r="AH27" s="175">
        <f>IF(U27&lt;'Wasserversorger &amp; Aufbereitung'!BK28,('Wasserversorger &amp; Aufbereitung'!BK12*'Wasserversorger &amp; Aufbereitung'!L4-($U$27*('Wasserversorger &amp; Aufbereitung'!BK20/7.14*'Wasserversorger &amp; Aufbereitung'!L4+'Wasserversorger &amp; Aufbereitung'!BK21/4.35*'Wasserversorger &amp; Aufbereitung'!L4))/((1+$U$27)*2.8))*'Wasserversorger &amp; Aufbereitung'!X7/1000/IF(AH6="[g]",1,'Wasserversorger &amp; Aufbereitung'!X8)/'Wasserversorger &amp; Aufbereitung'!X6*100/2,"X")</f>
        <v>13.94965666821825</v>
      </c>
      <c r="AI27" s="176"/>
      <c r="AJ27" s="183">
        <f>IF(U27&lt;'Wasserversorger &amp; Aufbereitung'!BK28,('Wasserversorger &amp; Aufbereitung'!BK12*'Wasserversorger &amp; Aufbereitung'!L4-($U$27*('Wasserversorger &amp; Aufbereitung'!BK20/7.14*'Wasserversorger &amp; Aufbereitung'!L4+'Wasserversorger &amp; Aufbereitung'!BK21/4.35*'Wasserversorger &amp; Aufbereitung'!L4))/((1+$U$27)*2.8))*'Wasserversorger &amp; Aufbereitung'!AA7/1000/IF(AJ6="[g]",1,'Wasserversorger &amp; Aufbereitung'!AA8)/'Wasserversorger &amp; Aufbereitung'!AA6*100,"X")</f>
        <v>11.056754453335712</v>
      </c>
      <c r="AK27" s="176"/>
      <c r="AL27" s="180">
        <f>IF(U27&lt;'Wasserversorger &amp; Aufbereitung'!BK28,((7.14*('Wasserversorger &amp; Aufbereitung'!BK12*2.8*'Wasserversorger &amp; Aufbereitung'!L4*(1+$U$27)-$U$27*'Wasserversorger &amp; Aufbereitung'!BK21/4.35*'Wasserversorger &amp; Aufbereitung'!L4)/$U$27)-'Wasserversorger &amp; Aufbereitung'!BK20*'Wasserversorger &amp; Aufbereitung'!L4)/232.78,"X")</f>
        <v>11.286094373553833</v>
      </c>
      <c r="AM27" s="176"/>
      <c r="AN27" s="181">
        <f>IF(U27&lt;'Wasserversorger &amp; Aufbereitung'!BK28,((7.14*('Wasserversorger &amp; Aufbereitung'!BK12*2.8*'Wasserversorger &amp; Aufbereitung'!L4*(1+$U$27)-$U$27*'Wasserversorger &amp; Aufbereitung'!BK21/4.35*'Wasserversorger &amp; Aufbereitung'!L4)/$U$27)-'Wasserversorger &amp; Aufbereitung'!BK20*'Wasserversorger &amp; Aufbereitung'!L4)/272.6,"X")</f>
        <v>9.6374800010119639</v>
      </c>
      <c r="AO27" s="206"/>
      <c r="AP27" s="181">
        <f>IF(U27&lt;'Wasserversorger &amp; Aufbereitung'!BK28,((7.14*('Wasserversorger &amp; Aufbereitung'!BK12*2.8*'Wasserversorger &amp; Aufbereitung'!L4*(1+$U$27)-$U$27*'Wasserversorger &amp; Aufbereitung'!BK21/4.35*'Wasserversorger &amp; Aufbereitung'!L4)/$U$27)-'Wasserversorger &amp; Aufbereitung'!BK20*'Wasserversorger &amp; Aufbereitung'!L4)/40.078*IF(AP6="[g]",'Wasserversorger &amp; Aufbereitung'!AK8,1)/'Wasserversorger &amp; Aufbereitung'!AK7,"X")</f>
        <v>16.765115239323354</v>
      </c>
      <c r="AQ27" s="176"/>
      <c r="AR27" s="180">
        <f>IF(U27&lt;'Wasserversorger &amp; Aufbereitung'!BK28,((4.35*('Wasserversorger &amp; Aufbereitung'!BK12*2.8*'Wasserversorger &amp; Aufbereitung'!L4*(1+$U$27)-$U$27*'Wasserversorger &amp; Aufbereitung'!BK20/7.14*'Wasserversorger &amp; Aufbereitung'!L4)/$U$27)-'Wasserversorger &amp; Aufbereitung'!BK21*'Wasserversorger &amp; Aufbereitung'!L4)/119.53,"X")</f>
        <v>13.390705754400813</v>
      </c>
      <c r="AS27" s="176"/>
      <c r="AT27" s="181">
        <f>IF(U27&lt;'Wasserversorger &amp; Aufbereitung'!BK28,((4.35*('Wasserversorger &amp; Aufbereitung'!BK12*2.8*'Wasserversorger &amp; Aufbereitung'!L4*(1+$U$27)-$U$27*'Wasserversorger &amp; Aufbereitung'!BK20/7.14*'Wasserversorger &amp; Aufbereitung'!L4)/$U$27)-'Wasserversorger &amp; Aufbereitung'!BK21*'Wasserversorger &amp; Aufbereitung'!L4)/98.59,"X")</f>
        <v>16.234821572406219</v>
      </c>
      <c r="AU27" s="176"/>
      <c r="AV27" s="177"/>
      <c r="AW27" s="176"/>
      <c r="AX27" s="180" t="str">
        <f>IF(U27&gt;'Wasserversorger &amp; Aufbereitung'!BK28,((($U$27*('Wasserversorger &amp; Aufbereitung'!BK20/7.14*'Wasserversorger &amp; Aufbereitung'!L4+'Wasserversorger &amp; Aufbereitung'!BK21/4.35*'Wasserversorger &amp; Aufbereitung'!L4))/((1+$U$27)*2.8))-'Wasserversorger &amp; Aufbereitung'!BK12*'Wasserversorger &amp; Aufbereitung'!L4)/726.34*61,"X")</f>
        <v>X</v>
      </c>
      <c r="AY27" s="44"/>
      <c r="AZ27" s="44"/>
      <c r="BA27" s="161"/>
      <c r="BB27" s="161"/>
      <c r="BC27" s="191"/>
      <c r="BD27" s="192"/>
      <c r="BE27" s="164"/>
      <c r="BF27" s="165"/>
      <c r="BG27" s="165"/>
      <c r="BH27" s="165"/>
      <c r="BI27" s="165"/>
      <c r="BJ27" s="191"/>
      <c r="BK27" s="164"/>
      <c r="BL27" s="165"/>
      <c r="BM27" s="165"/>
      <c r="BN27" s="165"/>
      <c r="BO27" s="165"/>
      <c r="BP27" s="191"/>
      <c r="BQ27" s="164"/>
      <c r="BR27" s="165"/>
      <c r="BS27" s="165"/>
      <c r="BT27" s="165"/>
      <c r="BU27" s="165"/>
      <c r="BV27" s="191"/>
      <c r="BW27" s="164"/>
      <c r="BX27" s="165"/>
      <c r="BY27" s="165"/>
      <c r="BZ27" s="165"/>
      <c r="CA27" s="165"/>
      <c r="CB27" s="191"/>
      <c r="CC27" s="164"/>
      <c r="CD27" s="165"/>
      <c r="CE27" s="165"/>
      <c r="CF27" s="165"/>
      <c r="CG27" s="165"/>
      <c r="CH27" s="191"/>
      <c r="CI27" s="164"/>
      <c r="CJ27" s="165"/>
      <c r="CK27" s="165"/>
      <c r="CL27" s="165"/>
      <c r="CM27" s="165"/>
      <c r="CN27" s="191"/>
      <c r="CO27" s="164"/>
      <c r="CP27" s="165"/>
      <c r="CQ27" s="165"/>
      <c r="CR27" s="165"/>
      <c r="CS27" s="165"/>
      <c r="CT27" s="191"/>
      <c r="CU27" s="164"/>
      <c r="CV27" s="165"/>
      <c r="CW27" s="165"/>
      <c r="CX27" s="165"/>
      <c r="CY27" s="165"/>
      <c r="CZ27" s="191"/>
      <c r="DA27" s="164"/>
      <c r="DB27" s="165"/>
      <c r="DC27" s="165"/>
      <c r="DD27" s="165"/>
      <c r="DE27" s="191"/>
      <c r="DF27" s="164"/>
      <c r="DG27" s="161"/>
      <c r="DH27" s="161"/>
    </row>
    <row r="28" spans="1:112" ht="22.5" customHeight="1" x14ac:dyDescent="0.25">
      <c r="A28" s="58"/>
      <c r="B28" s="58"/>
      <c r="C28" s="58"/>
      <c r="D28" s="58"/>
      <c r="E28" s="58"/>
      <c r="F28" s="58"/>
      <c r="G28" s="58"/>
      <c r="H28" s="58"/>
      <c r="I28" s="58"/>
      <c r="J28" s="58"/>
      <c r="K28" s="58"/>
      <c r="L28" s="58"/>
      <c r="M28" s="58"/>
      <c r="N28" s="58"/>
      <c r="O28" s="58"/>
      <c r="P28" s="44"/>
      <c r="Q28" s="156"/>
      <c r="R28" s="154"/>
      <c r="S28" s="225"/>
      <c r="T28" s="154"/>
      <c r="U28" s="160"/>
      <c r="V28" s="157"/>
      <c r="W28" s="151"/>
      <c r="X28" s="237"/>
      <c r="Y28" s="151"/>
      <c r="Z28" s="182"/>
      <c r="AA28" s="176"/>
      <c r="AB28" s="188"/>
      <c r="AC28" s="178"/>
      <c r="AD28" s="182"/>
      <c r="AE28" s="179"/>
      <c r="AF28" s="188"/>
      <c r="AG28" s="176"/>
      <c r="AH28" s="182"/>
      <c r="AI28" s="176"/>
      <c r="AJ28" s="188"/>
      <c r="AK28" s="176"/>
      <c r="AL28" s="182"/>
      <c r="AM28" s="176"/>
      <c r="AN28" s="188"/>
      <c r="AO28" s="206"/>
      <c r="AP28" s="188"/>
      <c r="AQ28" s="176"/>
      <c r="AR28" s="182"/>
      <c r="AS28" s="176"/>
      <c r="AT28" s="188"/>
      <c r="AU28" s="176"/>
      <c r="AV28" s="182"/>
      <c r="AW28" s="176"/>
      <c r="AX28" s="182"/>
      <c r="AY28" s="44"/>
      <c r="AZ28" s="44"/>
      <c r="BA28" s="161"/>
      <c r="BB28" s="161"/>
      <c r="BC28" s="191"/>
      <c r="BD28" s="192"/>
      <c r="BE28" s="164"/>
      <c r="BF28" s="165"/>
      <c r="BG28" s="165"/>
      <c r="BH28" s="165"/>
      <c r="BI28" s="165"/>
      <c r="BJ28" s="191"/>
      <c r="BK28" s="164"/>
      <c r="BL28" s="165"/>
      <c r="BM28" s="165"/>
      <c r="BN28" s="165"/>
      <c r="BO28" s="165"/>
      <c r="BP28" s="191"/>
      <c r="BQ28" s="164"/>
      <c r="BR28" s="165"/>
      <c r="BS28" s="165"/>
      <c r="BT28" s="165"/>
      <c r="BU28" s="165"/>
      <c r="BV28" s="191"/>
      <c r="BW28" s="164"/>
      <c r="BX28" s="165"/>
      <c r="BY28" s="165"/>
      <c r="BZ28" s="165"/>
      <c r="CA28" s="165"/>
      <c r="CB28" s="191"/>
      <c r="CC28" s="164"/>
      <c r="CD28" s="165"/>
      <c r="CE28" s="165"/>
      <c r="CF28" s="165"/>
      <c r="CG28" s="165"/>
      <c r="CH28" s="191"/>
      <c r="CI28" s="164"/>
      <c r="CJ28" s="165"/>
      <c r="CK28" s="165"/>
      <c r="CL28" s="165"/>
      <c r="CM28" s="165"/>
      <c r="CN28" s="191"/>
      <c r="CO28" s="164"/>
      <c r="CP28" s="165"/>
      <c r="CQ28" s="165"/>
      <c r="CR28" s="165"/>
      <c r="CS28" s="165"/>
      <c r="CT28" s="191"/>
      <c r="CU28" s="164"/>
      <c r="CV28" s="165"/>
      <c r="CW28" s="165"/>
      <c r="CX28" s="165"/>
      <c r="CY28" s="165"/>
      <c r="CZ28" s="191"/>
      <c r="DA28" s="164"/>
      <c r="DB28" s="165"/>
      <c r="DC28" s="165"/>
      <c r="DD28" s="165"/>
      <c r="DE28" s="191"/>
      <c r="DF28" s="164"/>
      <c r="DG28" s="161"/>
      <c r="DH28" s="161"/>
    </row>
    <row r="29" spans="1:112" ht="15.75" x14ac:dyDescent="0.25">
      <c r="A29" s="58"/>
      <c r="B29" s="58"/>
      <c r="C29" s="58"/>
      <c r="D29" s="58"/>
      <c r="E29" s="58"/>
      <c r="F29" s="58"/>
      <c r="G29" s="58"/>
      <c r="H29" s="58"/>
      <c r="I29" s="58"/>
      <c r="J29" s="58"/>
      <c r="K29" s="58"/>
      <c r="L29" s="58"/>
      <c r="M29" s="58"/>
      <c r="N29" s="58"/>
      <c r="O29" s="58"/>
      <c r="P29" s="44"/>
      <c r="Q29" s="156" t="s">
        <v>258</v>
      </c>
      <c r="R29" s="154"/>
      <c r="S29" s="225"/>
      <c r="T29" s="154"/>
      <c r="U29" s="171">
        <v>0.2</v>
      </c>
      <c r="V29" s="157"/>
      <c r="W29" s="151"/>
      <c r="X29" s="237" t="s">
        <v>361</v>
      </c>
      <c r="Y29" s="151"/>
      <c r="Z29" s="177"/>
      <c r="AA29" s="176"/>
      <c r="AB29" s="177"/>
      <c r="AC29" s="178"/>
      <c r="AD29" s="177"/>
      <c r="AE29" s="179"/>
      <c r="AF29" s="177"/>
      <c r="AG29" s="176"/>
      <c r="AH29" s="180" t="str">
        <f>IF('Wasserversorger &amp; Aufbereitung'!BK30&lt;U29,($U$29*'Wasserversorger &amp; Aufbereitung'!BK15*'Wasserversorger &amp; Aufbereitung'!L4-'Wasserversorger &amp; Aufbereitung'!BK14*'Wasserversorger &amp; Aufbereitung'!L4)/1000/IF(AH6="[g]",1,'Wasserversorger &amp; Aufbereitung'!X8)*100/'Wasserversorger &amp; Aufbereitung'!X6*98/96,"X")</f>
        <v>X</v>
      </c>
      <c r="AI29" s="176"/>
      <c r="AJ29" s="181">
        <f>IF('Wasserversorger &amp; Aufbereitung'!BK30&gt;U29,(('Wasserversorger &amp; Aufbereitung'!BK14*'Wasserversorger &amp; Aufbereitung'!L4/$U$29)-'Wasserversorger &amp; Aufbereitung'!BK15*'Wasserversorger &amp; Aufbereitung'!L4)/1000/IF(AJ6="[g]",1,'Wasserversorger &amp; Aufbereitung'!AA8)*100/'Wasserversorger &amp; Aufbereitung'!AA6*36.5/35.5,"X")</f>
        <v>26.773521126760567</v>
      </c>
      <c r="AK29" s="176"/>
      <c r="AL29" s="180" t="str">
        <f>IF('Wasserversorger &amp; Aufbereitung'!BK30&lt;U29,($U$29*'Wasserversorger &amp; Aufbereitung'!BK15*'Wasserversorger &amp; Aufbereitung'!L4-'Wasserversorger &amp; Aufbereitung'!BK14*'Wasserversorger &amp; Aufbereitung'!L4)/557.93,"X")</f>
        <v>X</v>
      </c>
      <c r="AM29" s="176"/>
      <c r="AN29" s="181">
        <f>IF('Wasserversorger &amp; Aufbereitung'!BK30&gt;U29,(('Wasserversorger &amp; Aufbereitung'!BK14*'Wasserversorger &amp; Aufbereitung'!L4/$U$29)-'Wasserversorger &amp; Aufbereitung'!BK15*'Wasserversorger &amp; Aufbereitung'!L4)/482.28,"X")</f>
        <v>5.3993530729037076</v>
      </c>
      <c r="AO29" s="206"/>
      <c r="AP29" s="181">
        <f>IF('Wasserversorger &amp; Aufbereitung'!BK30&gt;U29,(('Wasserversorger &amp; Aufbereitung'!BK14*'Wasserversorger &amp; Aufbereitung'!L4/$U$29)-'Wasserversorger &amp; Aufbereitung'!BK15*'Wasserversorger &amp; Aufbereitung'!L4)/70.906*IF(AP6="[g]",'Wasserversorger &amp; Aufbereitung'!AK8,1)/'Wasserversorger &amp; Aufbereitung'!AK7,"X")</f>
        <v>9.3925007013716435</v>
      </c>
      <c r="AQ29" s="176"/>
      <c r="AR29" s="180">
        <f>IF('Wasserversorger &amp; Aufbereitung'!BK30&gt;U29,(('Wasserversorger &amp; Aufbereitung'!BK14*'Wasserversorger &amp; Aufbereitung'!L4/$U$29)-'Wasserversorger &amp; Aufbereitung'!BK15*'Wasserversorger &amp; Aufbereitung'!L4)/174.39,"X")</f>
        <v>14.932048856012388</v>
      </c>
      <c r="AS29" s="176"/>
      <c r="AT29" s="181" t="str">
        <f>IF('Wasserversorger &amp; Aufbereitung'!BK30&lt;U29,($U$29*'Wasserversorger &amp; Aufbereitung'!BK15*'Wasserversorger &amp; Aufbereitung'!L4-'Wasserversorger &amp; Aufbereitung'!BK14*'Wasserversorger &amp; Aufbereitung'!L4)/389.73,"X")</f>
        <v>X</v>
      </c>
      <c r="AU29" s="176"/>
      <c r="AV29" s="180">
        <f>IF('Wasserversorger &amp; Aufbereitung'!BK30&gt;U29,(('Wasserversorger &amp; Aufbereitung'!BK14*'Wasserversorger &amp; Aufbereitung'!L4/$U$29)-'Wasserversorger &amp; Aufbereitung'!BK15*'Wasserversorger &amp; Aufbereitung'!L4)/606.66,"X")</f>
        <v>4.2923548610424289</v>
      </c>
      <c r="AW29" s="176"/>
      <c r="AX29" s="177"/>
      <c r="AY29" s="44"/>
      <c r="AZ29" s="44"/>
      <c r="BA29" s="161"/>
      <c r="BB29" s="161"/>
      <c r="BC29" s="191"/>
      <c r="BD29" s="192"/>
      <c r="BE29" s="164"/>
      <c r="BF29" s="165"/>
      <c r="BG29" s="165"/>
      <c r="BH29" s="165"/>
      <c r="BI29" s="165"/>
      <c r="BJ29" s="191"/>
      <c r="BK29" s="164"/>
      <c r="BL29" s="165"/>
      <c r="BM29" s="165"/>
      <c r="BN29" s="165"/>
      <c r="BO29" s="165"/>
      <c r="BP29" s="191"/>
      <c r="BQ29" s="164"/>
      <c r="BR29" s="165"/>
      <c r="BS29" s="165"/>
      <c r="BT29" s="165"/>
      <c r="BU29" s="165"/>
      <c r="BV29" s="191"/>
      <c r="BW29" s="164"/>
      <c r="BX29" s="165"/>
      <c r="BY29" s="165"/>
      <c r="BZ29" s="165"/>
      <c r="CA29" s="165"/>
      <c r="CB29" s="191"/>
      <c r="CC29" s="164"/>
      <c r="CD29" s="165"/>
      <c r="CE29" s="165"/>
      <c r="CF29" s="165"/>
      <c r="CG29" s="165"/>
      <c r="CH29" s="191"/>
      <c r="CI29" s="164"/>
      <c r="CJ29" s="165"/>
      <c r="CK29" s="165"/>
      <c r="CL29" s="165"/>
      <c r="CM29" s="165"/>
      <c r="CN29" s="191"/>
      <c r="CO29" s="164"/>
      <c r="CP29" s="165"/>
      <c r="CQ29" s="165"/>
      <c r="CR29" s="165"/>
      <c r="CS29" s="165"/>
      <c r="CT29" s="191"/>
      <c r="CU29" s="164"/>
      <c r="CV29" s="165"/>
      <c r="CW29" s="165"/>
      <c r="CX29" s="165"/>
      <c r="CY29" s="165"/>
      <c r="CZ29" s="191"/>
      <c r="DA29" s="164"/>
      <c r="DB29" s="165"/>
      <c r="DC29" s="165"/>
      <c r="DD29" s="165"/>
      <c r="DE29" s="191"/>
      <c r="DF29" s="164"/>
      <c r="DG29" s="161"/>
      <c r="DH29" s="161"/>
    </row>
    <row r="30" spans="1:112" ht="22.5" customHeight="1" x14ac:dyDescent="0.25">
      <c r="A30" s="58"/>
      <c r="B30" s="58"/>
      <c r="C30" s="58"/>
      <c r="D30" s="58"/>
      <c r="E30" s="58"/>
      <c r="F30" s="58"/>
      <c r="G30" s="58"/>
      <c r="H30" s="58"/>
      <c r="I30" s="58"/>
      <c r="J30" s="58"/>
      <c r="K30" s="58"/>
      <c r="L30" s="58"/>
      <c r="M30" s="58"/>
      <c r="N30" s="58"/>
      <c r="O30" s="58"/>
      <c r="P30" s="44"/>
      <c r="Q30" s="156"/>
      <c r="R30" s="154"/>
      <c r="S30" s="225"/>
      <c r="T30" s="154"/>
      <c r="U30" s="160"/>
      <c r="V30" s="157"/>
      <c r="W30" s="151"/>
      <c r="X30" s="237"/>
      <c r="Y30" s="151"/>
      <c r="Z30" s="182"/>
      <c r="AA30" s="176"/>
      <c r="AB30" s="188"/>
      <c r="AC30" s="178"/>
      <c r="AD30" s="182"/>
      <c r="AE30" s="179"/>
      <c r="AF30" s="188"/>
      <c r="AG30" s="176"/>
      <c r="AH30" s="182"/>
      <c r="AI30" s="176"/>
      <c r="AJ30" s="188"/>
      <c r="AK30" s="176"/>
      <c r="AL30" s="182"/>
      <c r="AM30" s="176"/>
      <c r="AN30" s="188"/>
      <c r="AO30" s="206"/>
      <c r="AP30" s="188"/>
      <c r="AQ30" s="176"/>
      <c r="AR30" s="182"/>
      <c r="AS30" s="176"/>
      <c r="AT30" s="188"/>
      <c r="AU30" s="176"/>
      <c r="AV30" s="182"/>
      <c r="AW30" s="176"/>
      <c r="AX30" s="182"/>
      <c r="AY30" s="44"/>
      <c r="AZ30" s="44"/>
      <c r="BA30" s="161"/>
      <c r="BB30" s="161"/>
      <c r="BC30" s="191"/>
      <c r="BD30" s="192"/>
      <c r="BE30" s="164"/>
      <c r="BF30" s="165"/>
      <c r="BG30" s="165"/>
      <c r="BH30" s="165"/>
      <c r="BI30" s="165"/>
      <c r="BJ30" s="191"/>
      <c r="BK30" s="164"/>
      <c r="BL30" s="165"/>
      <c r="BM30" s="165"/>
      <c r="BN30" s="165"/>
      <c r="BO30" s="165"/>
      <c r="BP30" s="191"/>
      <c r="BQ30" s="164"/>
      <c r="BR30" s="165"/>
      <c r="BS30" s="165"/>
      <c r="BT30" s="165"/>
      <c r="BU30" s="165"/>
      <c r="BV30" s="191"/>
      <c r="BW30" s="164"/>
      <c r="BX30" s="165"/>
      <c r="BY30" s="165"/>
      <c r="BZ30" s="165"/>
      <c r="CA30" s="165"/>
      <c r="CB30" s="191"/>
      <c r="CC30" s="164"/>
      <c r="CD30" s="165"/>
      <c r="CE30" s="165"/>
      <c r="CF30" s="165"/>
      <c r="CG30" s="165"/>
      <c r="CH30" s="191"/>
      <c r="CI30" s="164"/>
      <c r="CJ30" s="165"/>
      <c r="CK30" s="165"/>
      <c r="CL30" s="165"/>
      <c r="CM30" s="165"/>
      <c r="CN30" s="191"/>
      <c r="CO30" s="164"/>
      <c r="CP30" s="165"/>
      <c r="CQ30" s="165"/>
      <c r="CR30" s="165"/>
      <c r="CS30" s="165"/>
      <c r="CT30" s="191"/>
      <c r="CU30" s="164"/>
      <c r="CV30" s="165"/>
      <c r="CW30" s="165"/>
      <c r="CX30" s="165"/>
      <c r="CY30" s="165"/>
      <c r="CZ30" s="191"/>
      <c r="DA30" s="164"/>
      <c r="DB30" s="165"/>
      <c r="DC30" s="165"/>
      <c r="DD30" s="165"/>
      <c r="DE30" s="191"/>
      <c r="DF30" s="164"/>
      <c r="DG30" s="161"/>
      <c r="DH30" s="161"/>
    </row>
    <row r="31" spans="1:112" ht="15.75" x14ac:dyDescent="0.25">
      <c r="A31" s="58"/>
      <c r="B31" s="58"/>
      <c r="C31" s="58"/>
      <c r="D31" s="58"/>
      <c r="E31" s="58"/>
      <c r="F31" s="58"/>
      <c r="G31" s="58"/>
      <c r="H31" s="58"/>
      <c r="I31" s="58"/>
      <c r="J31" s="58"/>
      <c r="K31" s="58"/>
      <c r="L31" s="58"/>
      <c r="M31" s="58"/>
      <c r="N31" s="58"/>
      <c r="O31" s="58"/>
      <c r="P31" s="44"/>
      <c r="Q31" s="156" t="s">
        <v>20</v>
      </c>
      <c r="R31" s="154"/>
      <c r="S31" s="224" t="str">
        <f>VLOOKUP($S$16,'Infos &amp; Hilfseinträge'!$AS$4:$AX$48,6,FALSE)</f>
        <v>-3-0 °dH</v>
      </c>
      <c r="T31" s="154"/>
      <c r="U31" s="171">
        <v>-1.5</v>
      </c>
      <c r="V31" s="157" t="s">
        <v>233</v>
      </c>
      <c r="W31" s="151"/>
      <c r="X31" s="237" t="s">
        <v>361</v>
      </c>
      <c r="Y31" s="151"/>
      <c r="Z31" s="175">
        <f>IF(U31&lt;'Wasserversorger &amp; Aufbereitung'!BK32,(1-(U31/'Wasserversorger &amp; Aufbereitung'!BK32))*'Wasserversorger &amp; Aufbereitung'!$L$4,"X")</f>
        <v>41.76748251748252</v>
      </c>
      <c r="AA31" s="176"/>
      <c r="AB31" s="183">
        <f>IF(U31&lt;'Wasserversorger &amp; Aufbereitung'!BK32,('Wasserversorger &amp; Aufbereitung'!BK12-((U31+'Wasserversorger &amp; Aufbereitung'!BK20/25+'Wasserversorger &amp; Aufbereitung'!BK21/30)/2.8))*'Wasserversorger &amp; Aufbereitung'!$L$4*'Wasserversorger &amp; Aufbereitung'!O7/1000/IF(AB6="[g]",1,'Wasserversorger &amp; Aufbereitung'!O8)/'Wasserversorger &amp; Aufbereitung'!O6*100,"X")</f>
        <v>4.248798231066889</v>
      </c>
      <c r="AC31" s="178"/>
      <c r="AD31" s="185">
        <f>IF(U31&lt;'Wasserversorger &amp; Aufbereitung'!BK32,('Wasserversorger &amp; Aufbereitung'!BK12-((U31+'Wasserversorger &amp; Aufbereitung'!BK20/25+'Wasserversorger &amp; Aufbereitung'!BK21/30)/2.8))*'Wasserversorger &amp; Aufbereitung'!$L$4*'Wasserversorger &amp; Aufbereitung'!R7/1000/0.02,"X")</f>
        <v>204.9620266666667</v>
      </c>
      <c r="AE31" s="179"/>
      <c r="AF31" s="183">
        <f>IF(U31&lt;'Wasserversorger &amp; Aufbereitung'!BK32,('Wasserversorger &amp; Aufbereitung'!BK12-((U31+'Wasserversorger &amp; Aufbereitung'!BK20/25+'Wasserversorger &amp; Aufbereitung'!BK21/30)/2.8))*'Wasserversorger &amp; Aufbereitung'!$L$4*'Wasserversorger &amp; Aufbereitung'!U7/1000/IF(AF6="[g]",1,'Wasserversorger &amp; Aufbereitung'!U8)/'Wasserversorger &amp; Aufbereitung'!U6*100,"X")</f>
        <v>44.59653333333334</v>
      </c>
      <c r="AG31" s="176"/>
      <c r="AH31" s="175">
        <f>IF(U31&lt;'Wasserversorger &amp; Aufbereitung'!BK32,('Wasserversorger &amp; Aufbereitung'!BK12-((U31+'Wasserversorger &amp; Aufbereitung'!BK20/25+'Wasserversorger &amp; Aufbereitung'!BK21/30)/2.8))*'Wasserversorger &amp; Aufbereitung'!$L$4*'Wasserversorger &amp; Aufbereitung'!X7/1000/IF(AH6="[g]",1,'Wasserversorger &amp; Aufbereitung'!X8)/'Wasserversorger &amp; Aufbereitung'!X6*100/2,"X")</f>
        <v>20.932810555607663</v>
      </c>
      <c r="AI31" s="176"/>
      <c r="AJ31" s="183">
        <f>IF(U31&lt;'Wasserversorger &amp; Aufbereitung'!BK32,('Wasserversorger &amp; Aufbereitung'!BK12-((U31+'Wasserversorger &amp; Aufbereitung'!BK20/25+'Wasserversorger &amp; Aufbereitung'!BK21/30)/2.8))*'Wasserversorger &amp; Aufbereitung'!$L$4*'Wasserversorger &amp; Aufbereitung'!AA7/1000/IF(AJ6="[g]",1,'Wasserversorger &amp; Aufbereitung'!AA8)/'Wasserversorger &amp; Aufbereitung'!AA6*100,"X")</f>
        <v>16.591730666666667</v>
      </c>
      <c r="AK31" s="176"/>
      <c r="AL31" s="180">
        <f>IF(U31&lt;'Wasserversorger &amp; Aufbereitung'!BK32,(-25*($U$31+'Wasserversorger &amp; Aufbereitung'!BK21/30-'Wasserversorger &amp; Aufbereitung'!BK12*2.8)-'Wasserversorger &amp; Aufbereitung'!BK20)*'Wasserversorger &amp; Aufbereitung'!$L$4/232.78,"X")</f>
        <v>13.684451699745107</v>
      </c>
      <c r="AM31" s="176"/>
      <c r="AN31" s="181">
        <f>IF(U31&lt;'Wasserversorger &amp; Aufbereitung'!BK32,(-25*($U$31+'Wasserversorger &amp; Aufbereitung'!BK21/30-'Wasserversorger &amp; Aufbereitung'!BK12*2.8)-'Wasserversorger &amp; Aufbereitung'!BK20)*'Wasserversorger &amp; Aufbereitung'!$L$4/272.6,"X")</f>
        <v>11.685497676693565</v>
      </c>
      <c r="AO31" s="206"/>
      <c r="AP31" s="181">
        <f>IF(U31&lt;'Wasserversorger &amp; Aufbereitung'!BK32,(-25*($U$31+'Wasserversorger &amp; Aufbereitung'!BK21/30-'Wasserversorger &amp; Aufbereitung'!BK12*2.8)-'Wasserversorger &amp; Aufbereitung'!BK20)*'Wasserversorger &amp; Aufbereitung'!$L$4/40.078*IF(AP6="[g]",'Wasserversorger &amp; Aufbereitung'!AK8,1)/'Wasserversorger &amp; Aufbereitung'!AK7,"X")</f>
        <v>20.327794730369554</v>
      </c>
      <c r="AQ31" s="176"/>
      <c r="AR31" s="175">
        <f>IF(U31&lt;'Wasserversorger &amp; Aufbereitung'!BK32,(-30*($U$31+'Wasserversorger &amp; Aufbereitung'!BK20/25-'Wasserversorger &amp; Aufbereitung'!BK12*2.8)-'Wasserversorger &amp; Aufbereitung'!BK21)*'Wasserversorger &amp; Aufbereitung'!$L$4/119.53,"X")</f>
        <v>31.979921358654728</v>
      </c>
      <c r="AS31" s="176"/>
      <c r="AT31" s="183">
        <f>IF(U31&lt;'Wasserversorger &amp; Aufbereitung'!BK32,(-30*($U$31+'Wasserversorger &amp; Aufbereitung'!BK20/25-'Wasserversorger &amp; Aufbereitung'!BK12*2.8)-'Wasserversorger &amp; Aufbereitung'!BK21)*'Wasserversorger &amp; Aufbereitung'!$L$4/98.59,"X")</f>
        <v>38.772289278831515</v>
      </c>
      <c r="AU31" s="176"/>
      <c r="AV31" s="177"/>
      <c r="AW31" s="176"/>
      <c r="AX31" s="181" t="str">
        <f>IF(U31&gt;'Wasserversorger &amp; Aufbereitung'!BK32,(($U$31+'Wasserversorger &amp; Aufbereitung'!BK20/25+'Wasserversorger &amp; Aufbereitung'!BK21/30)/2.8-'Wasserversorger &amp; Aufbereitung'!BK12)*'Wasserversorger &amp; Aufbereitung'!$L$4/726.34*61,"X")</f>
        <v>X</v>
      </c>
      <c r="AY31" s="44"/>
      <c r="AZ31" s="44"/>
      <c r="BA31" s="161"/>
      <c r="BB31" s="167" t="s">
        <v>36</v>
      </c>
      <c r="BC31" s="193"/>
      <c r="BD31" s="194" t="s">
        <v>248</v>
      </c>
      <c r="BE31" s="168">
        <f>'Wasserversorger &amp; Aufbereitung'!$BK$32</f>
        <v>3.0506666666666664</v>
      </c>
      <c r="BF31" s="165"/>
      <c r="BG31" s="165" t="s">
        <v>49</v>
      </c>
      <c r="BH31" s="169">
        <f>'Wasserversorger &amp; Aufbereitung'!$BK$32</f>
        <v>3.0506666666666664</v>
      </c>
      <c r="BI31" s="165"/>
      <c r="BJ31" s="191" t="s">
        <v>52</v>
      </c>
      <c r="BK31" s="168">
        <f>'Wasserversorger &amp; Aufbereitung'!$BK$32</f>
        <v>3.0506666666666664</v>
      </c>
      <c r="BL31" s="165"/>
      <c r="BM31" s="165" t="s">
        <v>56</v>
      </c>
      <c r="BN31" s="169">
        <f>'Wasserversorger &amp; Aufbereitung'!$BK$32</f>
        <v>3.0506666666666664</v>
      </c>
      <c r="BO31" s="165"/>
      <c r="BP31" s="191" t="s">
        <v>59</v>
      </c>
      <c r="BQ31" s="168">
        <f>'Wasserversorger &amp; Aufbereitung'!$BK$32</f>
        <v>3.0506666666666664</v>
      </c>
      <c r="BR31" s="165"/>
      <c r="BS31" s="165" t="s">
        <v>62</v>
      </c>
      <c r="BT31" s="169">
        <f>'Wasserversorger &amp; Aufbereitung'!$BK$32</f>
        <v>3.0506666666666664</v>
      </c>
      <c r="BU31" s="165"/>
      <c r="BV31" s="191" t="s">
        <v>64</v>
      </c>
      <c r="BW31" s="168">
        <f>'Wasserversorger &amp; Aufbereitung'!$BK$32</f>
        <v>3.0506666666666664</v>
      </c>
      <c r="BX31" s="165"/>
      <c r="BY31" s="165" t="s">
        <v>67</v>
      </c>
      <c r="BZ31" s="169">
        <f>'Wasserversorger &amp; Aufbereitung'!$BK$32</f>
        <v>3.0506666666666664</v>
      </c>
      <c r="CA31" s="165"/>
      <c r="CB31" s="191" t="s">
        <v>52</v>
      </c>
      <c r="CC31" s="168">
        <f>'Wasserversorger &amp; Aufbereitung'!$BK$32</f>
        <v>3.0506666666666664</v>
      </c>
      <c r="CD31" s="165"/>
      <c r="CE31" s="165" t="s">
        <v>69</v>
      </c>
      <c r="CF31" s="169">
        <f>'Wasserversorger &amp; Aufbereitung'!$BK$32</f>
        <v>3.0506666666666664</v>
      </c>
      <c r="CG31" s="165"/>
      <c r="CH31" s="191" t="s">
        <v>71</v>
      </c>
      <c r="CI31" s="168">
        <f>'Wasserversorger &amp; Aufbereitung'!$BK$32</f>
        <v>3.0506666666666664</v>
      </c>
      <c r="CJ31" s="165"/>
      <c r="CK31" s="165" t="s">
        <v>64</v>
      </c>
      <c r="CL31" s="169">
        <f>'Wasserversorger &amp; Aufbereitung'!$BK$32</f>
        <v>3.0506666666666664</v>
      </c>
      <c r="CM31" s="165"/>
      <c r="CN31" s="191" t="s">
        <v>43</v>
      </c>
      <c r="CO31" s="168">
        <f>'Wasserversorger &amp; Aufbereitung'!$BK$32</f>
        <v>3.0506666666666664</v>
      </c>
      <c r="CP31" s="165"/>
      <c r="CQ31" s="165" t="s">
        <v>43</v>
      </c>
      <c r="CR31" s="169">
        <f>'Wasserversorger &amp; Aufbereitung'!$BK$32</f>
        <v>3.0506666666666664</v>
      </c>
      <c r="CS31" s="165"/>
      <c r="CT31" s="191" t="s">
        <v>69</v>
      </c>
      <c r="CU31" s="168">
        <f>'Wasserversorger &amp; Aufbereitung'!$BK$32</f>
        <v>3.0506666666666664</v>
      </c>
      <c r="CV31" s="165"/>
      <c r="CW31" s="165" t="s">
        <v>64</v>
      </c>
      <c r="CX31" s="169">
        <f>'Wasserversorger &amp; Aufbereitung'!$BK$32</f>
        <v>3.0506666666666664</v>
      </c>
      <c r="CY31" s="165"/>
      <c r="CZ31" s="191" t="s">
        <v>76</v>
      </c>
      <c r="DA31" s="168">
        <f>'Wasserversorger &amp; Aufbereitung'!$BK$32</f>
        <v>3.0506666666666664</v>
      </c>
      <c r="DB31" s="165"/>
      <c r="DC31" s="165" t="s">
        <v>69</v>
      </c>
      <c r="DD31" s="169">
        <f>'Wasserversorger &amp; Aufbereitung'!$BK$32</f>
        <v>3.0506666666666664</v>
      </c>
      <c r="DE31" s="191" t="s">
        <v>78</v>
      </c>
      <c r="DF31" s="168">
        <f>'Wasserversorger &amp; Aufbereitung'!$BK$32</f>
        <v>3.0506666666666664</v>
      </c>
      <c r="DG31" s="161"/>
      <c r="DH31" s="161"/>
    </row>
    <row r="32" spans="1:112" x14ac:dyDescent="0.25">
      <c r="A32" s="58"/>
      <c r="B32" s="58"/>
      <c r="C32" s="58"/>
      <c r="D32" s="58"/>
      <c r="E32" s="58"/>
      <c r="F32" s="58"/>
      <c r="G32" s="58"/>
      <c r="H32" s="58"/>
      <c r="I32" s="58"/>
      <c r="J32" s="58"/>
      <c r="K32" s="58"/>
      <c r="L32" s="58"/>
      <c r="M32" s="58"/>
      <c r="N32" s="58"/>
      <c r="O32" s="58"/>
      <c r="P32" s="44"/>
      <c r="Q32" s="87"/>
      <c r="R32" s="203"/>
      <c r="S32" s="203"/>
      <c r="T32" s="203"/>
      <c r="U32" s="47"/>
      <c r="V32" s="86"/>
      <c r="W32" s="44"/>
      <c r="X32" s="206"/>
      <c r="Y32" s="200"/>
      <c r="Z32" s="44"/>
      <c r="AA32" s="44"/>
      <c r="AB32" s="51"/>
      <c r="AC32" s="44"/>
      <c r="AD32" s="44"/>
      <c r="AE32" s="44"/>
      <c r="AF32" s="51"/>
      <c r="AG32" s="44"/>
      <c r="AH32" s="44"/>
      <c r="AI32" s="44"/>
      <c r="AJ32" s="51"/>
      <c r="AK32" s="44"/>
      <c r="AL32" s="44"/>
      <c r="AM32" s="44"/>
      <c r="AN32" s="51"/>
      <c r="AO32" s="206"/>
      <c r="AP32" s="206"/>
      <c r="AQ32" s="44"/>
      <c r="AR32" s="44"/>
      <c r="AS32" s="44"/>
      <c r="AT32" s="51"/>
      <c r="AU32" s="44"/>
      <c r="AV32" s="44"/>
      <c r="AW32" s="44"/>
      <c r="AX32" s="44"/>
      <c r="AY32" s="44"/>
      <c r="AZ32" s="44"/>
      <c r="BA32" s="161"/>
      <c r="BB32" s="161"/>
      <c r="BC32" s="162"/>
      <c r="BD32" s="163"/>
      <c r="BE32" s="164"/>
      <c r="BF32" s="161"/>
      <c r="BG32" s="161"/>
      <c r="BH32" s="165"/>
      <c r="BI32" s="161"/>
      <c r="BJ32" s="162"/>
      <c r="BK32" s="164"/>
      <c r="BL32" s="161"/>
      <c r="BM32" s="161"/>
      <c r="BN32" s="165"/>
      <c r="BO32" s="161"/>
      <c r="BP32" s="162"/>
      <c r="BQ32" s="164"/>
      <c r="BR32" s="161"/>
      <c r="BS32" s="161"/>
      <c r="BT32" s="165"/>
      <c r="BU32" s="161"/>
      <c r="BV32" s="162"/>
      <c r="BW32" s="164"/>
      <c r="BX32" s="161"/>
      <c r="BY32" s="161"/>
      <c r="BZ32" s="165"/>
      <c r="CA32" s="161"/>
      <c r="CB32" s="162"/>
      <c r="CC32" s="166"/>
      <c r="CD32" s="161"/>
      <c r="CE32" s="161"/>
      <c r="CF32" s="165"/>
      <c r="CG32" s="161"/>
      <c r="CH32" s="162"/>
      <c r="CI32" s="166"/>
      <c r="CJ32" s="161"/>
      <c r="CK32" s="161"/>
      <c r="CL32" s="161"/>
      <c r="CM32" s="161"/>
      <c r="CN32" s="162"/>
      <c r="CO32" s="166"/>
      <c r="CP32" s="161"/>
      <c r="CQ32" s="161"/>
      <c r="CR32" s="161"/>
      <c r="CS32" s="161"/>
      <c r="CT32" s="162"/>
      <c r="CU32" s="166"/>
      <c r="CV32" s="161"/>
      <c r="CW32" s="161"/>
      <c r="CX32" s="161"/>
      <c r="CY32" s="161"/>
      <c r="CZ32" s="162"/>
      <c r="DA32" s="166"/>
      <c r="DB32" s="161"/>
      <c r="DC32" s="161"/>
      <c r="DD32" s="161"/>
      <c r="DE32" s="162"/>
      <c r="DF32" s="166"/>
      <c r="DG32" s="161"/>
      <c r="DH32" s="161"/>
    </row>
    <row r="33" spans="1:112" ht="18.75" x14ac:dyDescent="0.3">
      <c r="A33" s="58"/>
      <c r="B33" s="59" t="s">
        <v>171</v>
      </c>
      <c r="C33" s="58"/>
      <c r="D33" s="58"/>
      <c r="E33" s="58"/>
      <c r="F33" s="61"/>
      <c r="G33" s="58"/>
      <c r="H33" s="58"/>
      <c r="I33" s="58"/>
      <c r="J33" s="58"/>
      <c r="K33" s="58"/>
      <c r="L33" s="58"/>
      <c r="M33" s="58"/>
      <c r="N33" s="58"/>
      <c r="O33" s="58"/>
      <c r="P33" s="44"/>
      <c r="Q33" s="88"/>
      <c r="R33" s="204"/>
      <c r="S33" s="204"/>
      <c r="T33" s="204"/>
      <c r="U33" s="48"/>
      <c r="V33" s="89"/>
      <c r="W33" s="49"/>
      <c r="X33" s="216" t="s">
        <v>352</v>
      </c>
      <c r="Y33" s="205"/>
      <c r="Z33" s="95" t="s">
        <v>287</v>
      </c>
      <c r="AA33" s="44"/>
      <c r="AB33" s="101"/>
      <c r="AC33" s="49"/>
      <c r="AD33" s="96"/>
      <c r="AE33" s="146"/>
      <c r="AF33" s="101"/>
      <c r="AG33" s="44"/>
      <c r="AH33" s="96"/>
      <c r="AI33" s="44"/>
      <c r="AJ33" s="101"/>
      <c r="AK33" s="44"/>
      <c r="AL33" s="96"/>
      <c r="AM33" s="44"/>
      <c r="AN33" s="100" t="s">
        <v>227</v>
      </c>
      <c r="AO33" s="242"/>
      <c r="AP33" s="215" t="s">
        <v>227</v>
      </c>
      <c r="AQ33" s="44"/>
      <c r="AR33" s="96"/>
      <c r="AS33" s="44"/>
      <c r="AT33" s="100"/>
      <c r="AU33" s="44"/>
      <c r="AV33" s="96"/>
      <c r="AW33" s="44"/>
      <c r="AX33" s="100"/>
      <c r="AY33" s="44"/>
      <c r="AZ33" s="44"/>
      <c r="BA33" s="161"/>
      <c r="BB33" s="161"/>
      <c r="BC33" s="162"/>
      <c r="BD33" s="163"/>
      <c r="BE33" s="164"/>
      <c r="BF33" s="161"/>
      <c r="BG33" s="161"/>
      <c r="BH33" s="165"/>
      <c r="BI33" s="161"/>
      <c r="BJ33" s="162"/>
      <c r="BK33" s="164"/>
      <c r="BL33" s="161"/>
      <c r="BM33" s="161"/>
      <c r="BN33" s="165"/>
      <c r="BO33" s="161"/>
      <c r="BP33" s="162"/>
      <c r="BQ33" s="164"/>
      <c r="BR33" s="161"/>
      <c r="BS33" s="161"/>
      <c r="BT33" s="165"/>
      <c r="BU33" s="161"/>
      <c r="BV33" s="162"/>
      <c r="BW33" s="164"/>
      <c r="BX33" s="161"/>
      <c r="BY33" s="161"/>
      <c r="BZ33" s="165"/>
      <c r="CA33" s="161"/>
      <c r="CB33" s="162"/>
      <c r="CC33" s="166"/>
      <c r="CD33" s="161"/>
      <c r="CE33" s="161"/>
      <c r="CF33" s="165"/>
      <c r="CG33" s="161"/>
      <c r="CH33" s="162"/>
      <c r="CI33" s="166"/>
      <c r="CJ33" s="161"/>
      <c r="CK33" s="161"/>
      <c r="CL33" s="161"/>
      <c r="CM33" s="161"/>
      <c r="CN33" s="162"/>
      <c r="CO33" s="166"/>
      <c r="CP33" s="161"/>
      <c r="CQ33" s="161"/>
      <c r="CR33" s="161"/>
      <c r="CS33" s="161"/>
      <c r="CT33" s="162"/>
      <c r="CU33" s="166"/>
      <c r="CV33" s="161"/>
      <c r="CW33" s="161"/>
      <c r="CX33" s="161"/>
      <c r="CY33" s="161"/>
      <c r="CZ33" s="162"/>
      <c r="DA33" s="166"/>
      <c r="DB33" s="161"/>
      <c r="DC33" s="161"/>
      <c r="DD33" s="161"/>
      <c r="DE33" s="162"/>
      <c r="DF33" s="166"/>
      <c r="DG33" s="161"/>
      <c r="DH33" s="161"/>
    </row>
    <row r="34" spans="1:112" s="7" customFormat="1" ht="15.75" x14ac:dyDescent="0.25">
      <c r="A34" s="58"/>
      <c r="B34" s="58"/>
      <c r="C34" s="66" t="s">
        <v>322</v>
      </c>
      <c r="D34" s="58"/>
      <c r="E34" s="58"/>
      <c r="F34" s="58"/>
      <c r="G34" s="58"/>
      <c r="H34" s="58"/>
      <c r="I34" s="58"/>
      <c r="J34" s="58"/>
      <c r="K34" s="58" t="str">
        <f>IF('Wasserversorger &amp; Aufbereitung'!BK26&lt;0,"Achtung: Soda-Alkalisches Wasser!","")</f>
        <v/>
      </c>
      <c r="L34" s="58"/>
      <c r="M34" s="58"/>
      <c r="N34" s="58"/>
      <c r="O34" s="58"/>
      <c r="P34" s="49"/>
      <c r="Q34" s="88"/>
      <c r="R34" s="204"/>
      <c r="S34" s="204"/>
      <c r="T34" s="204"/>
      <c r="U34" s="48"/>
      <c r="V34" s="89"/>
      <c r="W34" s="49"/>
      <c r="X34" s="215" t="s">
        <v>353</v>
      </c>
      <c r="Y34" s="205"/>
      <c r="Z34" s="95" t="s">
        <v>288</v>
      </c>
      <c r="AA34" s="44"/>
      <c r="AB34" s="100" t="s">
        <v>126</v>
      </c>
      <c r="AC34" s="49"/>
      <c r="AD34" s="95" t="s">
        <v>145</v>
      </c>
      <c r="AE34" s="146"/>
      <c r="AF34" s="100" t="s">
        <v>295</v>
      </c>
      <c r="AG34" s="44"/>
      <c r="AH34" s="95" t="s">
        <v>224</v>
      </c>
      <c r="AI34" s="44"/>
      <c r="AJ34" s="100" t="s">
        <v>225</v>
      </c>
      <c r="AK34" s="44"/>
      <c r="AL34" s="95" t="s">
        <v>226</v>
      </c>
      <c r="AM34" s="44"/>
      <c r="AN34" s="100"/>
      <c r="AO34" s="242"/>
      <c r="AP34" s="243" t="s">
        <v>377</v>
      </c>
      <c r="AQ34" s="44"/>
      <c r="AR34" s="95" t="s">
        <v>228</v>
      </c>
      <c r="AS34" s="44"/>
      <c r="AT34" s="100" t="s">
        <v>229</v>
      </c>
      <c r="AU34" s="44"/>
      <c r="AV34" s="95" t="s">
        <v>230</v>
      </c>
      <c r="AW34" s="44"/>
      <c r="AX34" s="100" t="s">
        <v>231</v>
      </c>
      <c r="AY34" s="44"/>
      <c r="AZ34" s="44"/>
      <c r="BA34" s="161"/>
      <c r="BB34" s="167" t="s">
        <v>39</v>
      </c>
      <c r="BC34" s="162"/>
      <c r="BD34" s="163" t="s">
        <v>70</v>
      </c>
      <c r="BE34" s="164"/>
      <c r="BF34" s="161"/>
      <c r="BG34" s="161" t="s">
        <v>198</v>
      </c>
      <c r="BH34" s="165"/>
      <c r="BI34" s="161"/>
      <c r="BJ34" s="162" t="s">
        <v>194</v>
      </c>
      <c r="BK34" s="164"/>
      <c r="BL34" s="161"/>
      <c r="BM34" s="161" t="s">
        <v>194</v>
      </c>
      <c r="BN34" s="165"/>
      <c r="BO34" s="161"/>
      <c r="BP34" s="162" t="s">
        <v>192</v>
      </c>
      <c r="BQ34" s="164"/>
      <c r="BR34" s="161"/>
      <c r="BS34" s="161" t="s">
        <v>189</v>
      </c>
      <c r="BT34" s="165"/>
      <c r="BU34" s="161"/>
      <c r="BV34" s="162" t="s">
        <v>65</v>
      </c>
      <c r="BW34" s="164"/>
      <c r="BX34" s="161"/>
      <c r="BY34" s="161" t="s">
        <v>65</v>
      </c>
      <c r="BZ34" s="165"/>
      <c r="CA34" s="161"/>
      <c r="CB34" s="162" t="s">
        <v>70</v>
      </c>
      <c r="CC34" s="166"/>
      <c r="CD34" s="161"/>
      <c r="CE34" s="161" t="s">
        <v>70</v>
      </c>
      <c r="CF34" s="165"/>
      <c r="CG34" s="161"/>
      <c r="CH34" s="162" t="s">
        <v>184</v>
      </c>
      <c r="CI34" s="166"/>
      <c r="CJ34" s="161"/>
      <c r="CK34" s="161" t="s">
        <v>184</v>
      </c>
      <c r="CL34" s="161"/>
      <c r="CM34" s="161"/>
      <c r="CN34" s="162" t="s">
        <v>70</v>
      </c>
      <c r="CO34" s="166"/>
      <c r="CP34" s="161"/>
      <c r="CQ34" s="161" t="s">
        <v>182</v>
      </c>
      <c r="CR34" s="161"/>
      <c r="CS34" s="161"/>
      <c r="CT34" s="162" t="s">
        <v>175</v>
      </c>
      <c r="CU34" s="166"/>
      <c r="CV34" s="161"/>
      <c r="CW34" s="161" t="s">
        <v>173</v>
      </c>
      <c r="CX34" s="161"/>
      <c r="CY34" s="161"/>
      <c r="CZ34" s="162" t="s">
        <v>70</v>
      </c>
      <c r="DA34" s="166"/>
      <c r="DB34" s="161"/>
      <c r="DC34" s="161" t="s">
        <v>70</v>
      </c>
      <c r="DD34" s="161"/>
      <c r="DE34" s="162" t="s">
        <v>65</v>
      </c>
      <c r="DF34" s="166"/>
      <c r="DG34" s="169"/>
      <c r="DH34" s="169"/>
    </row>
    <row r="35" spans="1:112" s="7" customFormat="1" ht="16.5" thickBot="1" x14ac:dyDescent="0.3">
      <c r="A35" s="58"/>
      <c r="B35" s="58"/>
      <c r="C35" s="66" t="s">
        <v>323</v>
      </c>
      <c r="D35" s="58"/>
      <c r="E35" s="58"/>
      <c r="F35" s="58"/>
      <c r="G35" s="58"/>
      <c r="H35" s="58"/>
      <c r="I35" s="58"/>
      <c r="J35" s="58"/>
      <c r="K35" s="58" t="str">
        <f>IF('Wasserversorger &amp; Aufbereitung'!BK26&lt;0,"(Karbonathärte &gt; Gesamthärte)","")</f>
        <v/>
      </c>
      <c r="L35" s="58"/>
      <c r="M35" s="58"/>
      <c r="N35" s="58"/>
      <c r="O35" s="58"/>
      <c r="P35" s="49"/>
      <c r="Q35" s="90"/>
      <c r="R35" s="213"/>
      <c r="S35" s="213"/>
      <c r="T35" s="213"/>
      <c r="U35" s="91"/>
      <c r="V35" s="92"/>
      <c r="W35" s="49"/>
      <c r="X35" s="173" t="s">
        <v>286</v>
      </c>
      <c r="Y35" s="205"/>
      <c r="Z35" s="143" t="s">
        <v>286</v>
      </c>
      <c r="AA35" s="44"/>
      <c r="AB35" s="173" t="s">
        <v>124</v>
      </c>
      <c r="AC35" s="49"/>
      <c r="AD35" s="143" t="s">
        <v>146</v>
      </c>
      <c r="AE35" s="146"/>
      <c r="AF35" s="173" t="s">
        <v>124</v>
      </c>
      <c r="AG35" s="44"/>
      <c r="AH35" s="143" t="s">
        <v>124</v>
      </c>
      <c r="AI35" s="44"/>
      <c r="AJ35" s="173" t="s">
        <v>124</v>
      </c>
      <c r="AK35" s="44"/>
      <c r="AL35" s="143" t="s">
        <v>146</v>
      </c>
      <c r="AM35" s="44"/>
      <c r="AN35" s="173" t="s">
        <v>146</v>
      </c>
      <c r="AO35" s="242"/>
      <c r="AP35" s="173" t="s">
        <v>146</v>
      </c>
      <c r="AQ35" s="44"/>
      <c r="AR35" s="143" t="s">
        <v>146</v>
      </c>
      <c r="AS35" s="44"/>
      <c r="AT35" s="173" t="s">
        <v>146</v>
      </c>
      <c r="AU35" s="44"/>
      <c r="AV35" s="143" t="s">
        <v>146</v>
      </c>
      <c r="AW35" s="44"/>
      <c r="AX35" s="173" t="s">
        <v>146</v>
      </c>
      <c r="AY35" s="44"/>
      <c r="AZ35" s="44"/>
      <c r="BA35" s="169"/>
      <c r="BB35" s="161"/>
      <c r="BC35" s="162"/>
      <c r="BD35" s="163" t="s">
        <v>199</v>
      </c>
      <c r="BE35" s="164"/>
      <c r="BF35" s="161"/>
      <c r="BG35" s="161" t="s">
        <v>199</v>
      </c>
      <c r="BH35" s="165"/>
      <c r="BI35" s="161"/>
      <c r="BJ35" s="162" t="s">
        <v>196</v>
      </c>
      <c r="BK35" s="164"/>
      <c r="BL35" s="161"/>
      <c r="BM35" s="161" t="s">
        <v>195</v>
      </c>
      <c r="BN35" s="165"/>
      <c r="BO35" s="161"/>
      <c r="BP35" s="162" t="s">
        <v>193</v>
      </c>
      <c r="BQ35" s="164"/>
      <c r="BR35" s="161"/>
      <c r="BS35" s="161" t="s">
        <v>190</v>
      </c>
      <c r="BT35" s="165"/>
      <c r="BU35" s="161"/>
      <c r="BV35" s="162"/>
      <c r="BW35" s="164"/>
      <c r="BX35" s="161"/>
      <c r="BY35" s="161"/>
      <c r="BZ35" s="165"/>
      <c r="CA35" s="161"/>
      <c r="CB35" s="162" t="s">
        <v>197</v>
      </c>
      <c r="CC35" s="166"/>
      <c r="CD35" s="161"/>
      <c r="CE35" s="161"/>
      <c r="CF35" s="165"/>
      <c r="CG35" s="161"/>
      <c r="CH35" s="162" t="s">
        <v>186</v>
      </c>
      <c r="CI35" s="166"/>
      <c r="CJ35" s="161"/>
      <c r="CK35" s="161" t="s">
        <v>183</v>
      </c>
      <c r="CL35" s="161"/>
      <c r="CM35" s="161"/>
      <c r="CN35" s="162" t="s">
        <v>197</v>
      </c>
      <c r="CO35" s="166"/>
      <c r="CP35" s="161"/>
      <c r="CQ35" s="161" t="s">
        <v>177</v>
      </c>
      <c r="CR35" s="161"/>
      <c r="CS35" s="161"/>
      <c r="CT35" s="162" t="s">
        <v>174</v>
      </c>
      <c r="CU35" s="166"/>
      <c r="CV35" s="161"/>
      <c r="CW35" s="161" t="s">
        <v>172</v>
      </c>
      <c r="CX35" s="161"/>
      <c r="CY35" s="161"/>
      <c r="CZ35" s="162" t="s">
        <v>201</v>
      </c>
      <c r="DA35" s="166"/>
      <c r="DB35" s="161"/>
      <c r="DC35" s="161"/>
      <c r="DD35" s="161"/>
      <c r="DE35" s="162"/>
      <c r="DF35" s="166"/>
      <c r="DG35" s="161"/>
      <c r="DH35" s="161"/>
    </row>
    <row r="36" spans="1:112" s="7" customFormat="1" ht="19.5" customHeight="1" x14ac:dyDescent="0.25">
      <c r="A36" s="62"/>
      <c r="B36" s="62"/>
      <c r="C36" s="58"/>
      <c r="D36" s="58"/>
      <c r="E36" s="58"/>
      <c r="F36" s="58"/>
      <c r="G36" s="58"/>
      <c r="H36" s="58"/>
      <c r="I36" s="58"/>
      <c r="J36" s="58"/>
      <c r="K36" s="58"/>
      <c r="L36" s="62"/>
      <c r="M36" s="62"/>
      <c r="N36" s="62"/>
      <c r="O36" s="62"/>
      <c r="P36" s="49"/>
      <c r="Q36" s="48"/>
      <c r="R36" s="204"/>
      <c r="S36" s="204"/>
      <c r="T36" s="204"/>
      <c r="U36" s="49"/>
      <c r="V36" s="49"/>
      <c r="W36" s="49"/>
      <c r="X36" s="205"/>
      <c r="Y36" s="205"/>
      <c r="Z36" s="71"/>
      <c r="AA36" s="71"/>
      <c r="AB36" s="49"/>
      <c r="AC36" s="49"/>
      <c r="AD36" s="49"/>
      <c r="AE36" s="49"/>
      <c r="AF36" s="49"/>
      <c r="AG36" s="49"/>
      <c r="AH36" s="49"/>
      <c r="AI36" s="49"/>
      <c r="AJ36" s="49"/>
      <c r="AK36" s="49"/>
      <c r="AL36" s="49"/>
      <c r="AM36" s="49"/>
      <c r="AN36" s="49"/>
      <c r="AO36" s="205"/>
      <c r="AP36" s="205"/>
      <c r="AQ36" s="49"/>
      <c r="AR36" s="49"/>
      <c r="AS36" s="49"/>
      <c r="AT36" s="49"/>
      <c r="AU36" s="49"/>
      <c r="AV36" s="49"/>
      <c r="AW36" s="49"/>
      <c r="AX36" s="49"/>
      <c r="AY36" s="49"/>
      <c r="AZ36" s="49"/>
      <c r="BA36" s="161"/>
      <c r="BB36" s="161"/>
      <c r="BC36" s="162"/>
      <c r="BD36" s="163" t="s">
        <v>200</v>
      </c>
      <c r="BE36" s="164"/>
      <c r="BF36" s="161"/>
      <c r="BG36" s="161" t="s">
        <v>200</v>
      </c>
      <c r="BH36" s="165"/>
      <c r="BI36" s="161"/>
      <c r="BJ36" s="162" t="s">
        <v>197</v>
      </c>
      <c r="BK36" s="164"/>
      <c r="BL36" s="161"/>
      <c r="BM36" s="161"/>
      <c r="BN36" s="165"/>
      <c r="BO36" s="161"/>
      <c r="BP36" s="162"/>
      <c r="BQ36" s="164"/>
      <c r="BR36" s="161"/>
      <c r="BS36" s="161" t="s">
        <v>191</v>
      </c>
      <c r="BT36" s="165"/>
      <c r="BU36" s="161"/>
      <c r="BV36" s="162"/>
      <c r="BW36" s="164"/>
      <c r="BX36" s="161"/>
      <c r="BY36" s="161"/>
      <c r="BZ36" s="165"/>
      <c r="CA36" s="161"/>
      <c r="CB36" s="162" t="s">
        <v>200</v>
      </c>
      <c r="CC36" s="166"/>
      <c r="CD36" s="161"/>
      <c r="CE36" s="161"/>
      <c r="CF36" s="165"/>
      <c r="CG36" s="161"/>
      <c r="CH36" s="162" t="s">
        <v>187</v>
      </c>
      <c r="CI36" s="166"/>
      <c r="CJ36" s="161"/>
      <c r="CK36" s="161" t="s">
        <v>185</v>
      </c>
      <c r="CL36" s="161"/>
      <c r="CM36" s="161"/>
      <c r="CN36" s="162" t="s">
        <v>200</v>
      </c>
      <c r="CO36" s="166"/>
      <c r="CP36" s="161"/>
      <c r="CQ36" s="161" t="s">
        <v>178</v>
      </c>
      <c r="CR36" s="161"/>
      <c r="CS36" s="161"/>
      <c r="CT36" s="162" t="s">
        <v>176</v>
      </c>
      <c r="CU36" s="166"/>
      <c r="CV36" s="161"/>
      <c r="CW36" s="161" t="s">
        <v>65</v>
      </c>
      <c r="CX36" s="161"/>
      <c r="CY36" s="161"/>
      <c r="CZ36" s="162" t="s">
        <v>200</v>
      </c>
      <c r="DA36" s="166"/>
      <c r="DB36" s="161"/>
      <c r="DC36" s="161"/>
      <c r="DD36" s="161"/>
      <c r="DE36" s="162"/>
      <c r="DF36" s="166"/>
      <c r="DG36" s="170"/>
      <c r="DH36" s="170"/>
    </row>
    <row r="37" spans="1:112" s="7" customFormat="1" ht="15.75" thickBot="1" x14ac:dyDescent="0.3">
      <c r="A37" s="62"/>
      <c r="B37" s="62"/>
      <c r="C37" s="58"/>
      <c r="D37" s="58"/>
      <c r="E37" s="58"/>
      <c r="F37" s="58"/>
      <c r="G37" s="58"/>
      <c r="H37" s="58"/>
      <c r="I37" s="58"/>
      <c r="J37" s="58"/>
      <c r="K37" s="58"/>
      <c r="L37" s="62"/>
      <c r="M37" s="62"/>
      <c r="N37" s="62"/>
      <c r="O37" s="62"/>
      <c r="P37" s="49"/>
      <c r="Q37" s="49"/>
      <c r="R37" s="205"/>
      <c r="S37" s="205"/>
      <c r="T37" s="205"/>
      <c r="U37" s="49"/>
      <c r="V37" s="49"/>
      <c r="W37" s="49"/>
      <c r="X37" s="205"/>
      <c r="Y37" s="205"/>
      <c r="Z37" s="49"/>
      <c r="AA37" s="49"/>
      <c r="AB37" s="49"/>
      <c r="AC37" s="49"/>
      <c r="AD37" s="49"/>
      <c r="AE37" s="49"/>
      <c r="AF37" s="49"/>
      <c r="AG37" s="49"/>
      <c r="AH37" s="49"/>
      <c r="AI37" s="49"/>
      <c r="AJ37" s="49"/>
      <c r="AK37" s="49"/>
      <c r="AL37" s="49"/>
      <c r="AM37" s="49"/>
      <c r="AN37" s="49"/>
      <c r="AO37" s="205"/>
      <c r="AP37" s="205"/>
      <c r="AQ37" s="49"/>
      <c r="AR37" s="49"/>
      <c r="AS37" s="49"/>
      <c r="AT37" s="49"/>
      <c r="AU37" s="49"/>
      <c r="AV37" s="49"/>
      <c r="AW37" s="49"/>
      <c r="AX37" s="49"/>
      <c r="AY37" s="49"/>
      <c r="AZ37" s="49"/>
      <c r="BA37" s="170"/>
      <c r="BB37" s="161"/>
      <c r="BC37" s="162"/>
      <c r="BD37" s="163"/>
      <c r="BE37" s="164"/>
      <c r="BF37" s="161"/>
      <c r="BG37" s="161"/>
      <c r="BH37" s="165"/>
      <c r="BI37" s="161"/>
      <c r="BJ37" s="162"/>
      <c r="BK37" s="164"/>
      <c r="BL37" s="161"/>
      <c r="BM37" s="161"/>
      <c r="BN37" s="165"/>
      <c r="BO37" s="161"/>
      <c r="BP37" s="162"/>
      <c r="BQ37" s="164"/>
      <c r="BR37" s="161"/>
      <c r="BS37" s="161"/>
      <c r="BT37" s="165"/>
      <c r="BU37" s="161"/>
      <c r="BV37" s="162"/>
      <c r="BW37" s="164"/>
      <c r="BX37" s="161"/>
      <c r="BY37" s="161"/>
      <c r="BZ37" s="165"/>
      <c r="CA37" s="161"/>
      <c r="CB37" s="162"/>
      <c r="CC37" s="166"/>
      <c r="CD37" s="161"/>
      <c r="CE37" s="161"/>
      <c r="CF37" s="165"/>
      <c r="CG37" s="161"/>
      <c r="CH37" s="162" t="s">
        <v>188</v>
      </c>
      <c r="CI37" s="166"/>
      <c r="CJ37" s="161"/>
      <c r="CK37" s="161"/>
      <c r="CL37" s="161"/>
      <c r="CM37" s="161"/>
      <c r="CN37" s="162"/>
      <c r="CO37" s="166"/>
      <c r="CP37" s="161"/>
      <c r="CQ37" s="161" t="s">
        <v>179</v>
      </c>
      <c r="CR37" s="161"/>
      <c r="CS37" s="161"/>
      <c r="CT37" s="162"/>
      <c r="CU37" s="166"/>
      <c r="CV37" s="161"/>
      <c r="CW37" s="161"/>
      <c r="CX37" s="161"/>
      <c r="CY37" s="161"/>
      <c r="CZ37" s="162"/>
      <c r="DA37" s="166"/>
      <c r="DB37" s="161"/>
      <c r="DC37" s="161"/>
      <c r="DD37" s="161"/>
      <c r="DE37" s="162"/>
      <c r="DF37" s="166"/>
      <c r="DG37" s="170"/>
      <c r="DH37" s="170"/>
    </row>
    <row r="38" spans="1:112" s="7" customFormat="1" x14ac:dyDescent="0.25">
      <c r="A38" s="62"/>
      <c r="B38" s="116"/>
      <c r="C38" s="108"/>
      <c r="D38" s="107" t="s">
        <v>1</v>
      </c>
      <c r="E38" s="106"/>
      <c r="F38" s="106"/>
      <c r="G38" s="117"/>
      <c r="H38" s="105"/>
      <c r="I38" s="106"/>
      <c r="J38" s="107" t="s">
        <v>0</v>
      </c>
      <c r="K38" s="106"/>
      <c r="L38" s="108"/>
      <c r="M38" s="109"/>
      <c r="N38" s="62"/>
      <c r="O38" s="62"/>
      <c r="P38" s="205"/>
      <c r="Q38" s="49"/>
      <c r="R38" s="205"/>
      <c r="S38" s="205"/>
      <c r="T38" s="205"/>
      <c r="U38" s="49"/>
      <c r="V38" s="49"/>
      <c r="W38" s="49"/>
      <c r="X38" s="205"/>
      <c r="Y38" s="205"/>
      <c r="Z38" s="49"/>
      <c r="AA38" s="49"/>
      <c r="AB38" s="49"/>
      <c r="AC38" s="49"/>
      <c r="AD38" s="49"/>
      <c r="AE38" s="49"/>
      <c r="AF38" s="49"/>
      <c r="AG38" s="49"/>
      <c r="AH38" s="49"/>
      <c r="AI38" s="49"/>
      <c r="AJ38" s="49"/>
      <c r="AK38" s="49"/>
      <c r="AL38" s="49"/>
      <c r="AM38" s="49"/>
      <c r="AN38" s="49"/>
      <c r="AO38" s="205"/>
      <c r="AP38" s="205"/>
      <c r="AQ38" s="49"/>
      <c r="AR38" s="49"/>
      <c r="AS38" s="49"/>
      <c r="AT38" s="49"/>
      <c r="AU38" s="49"/>
      <c r="AV38" s="49"/>
      <c r="AW38" s="49"/>
      <c r="AX38" s="49"/>
      <c r="AY38" s="49"/>
      <c r="AZ38" s="49"/>
      <c r="BA38" s="170"/>
      <c r="BB38" s="161"/>
      <c r="BC38" s="162"/>
      <c r="BD38" s="163"/>
      <c r="BE38" s="164"/>
      <c r="BF38" s="161"/>
      <c r="BG38" s="161"/>
      <c r="BH38" s="165"/>
      <c r="BI38" s="161"/>
      <c r="BJ38" s="162"/>
      <c r="BK38" s="164"/>
      <c r="BL38" s="161"/>
      <c r="BM38" s="161"/>
      <c r="BN38" s="165"/>
      <c r="BO38" s="161"/>
      <c r="BP38" s="162"/>
      <c r="BQ38" s="164"/>
      <c r="BR38" s="161"/>
      <c r="BS38" s="161"/>
      <c r="BT38" s="165"/>
      <c r="BU38" s="161"/>
      <c r="BV38" s="162"/>
      <c r="BW38" s="164"/>
      <c r="BX38" s="161"/>
      <c r="BY38" s="161"/>
      <c r="BZ38" s="165"/>
      <c r="CA38" s="161"/>
      <c r="CB38" s="162"/>
      <c r="CC38" s="166"/>
      <c r="CD38" s="161"/>
      <c r="CE38" s="161"/>
      <c r="CF38" s="165"/>
      <c r="CG38" s="161"/>
      <c r="CH38" s="162" t="s">
        <v>172</v>
      </c>
      <c r="CI38" s="166"/>
      <c r="CJ38" s="161"/>
      <c r="CK38" s="161"/>
      <c r="CL38" s="161"/>
      <c r="CM38" s="161"/>
      <c r="CN38" s="162"/>
      <c r="CO38" s="166"/>
      <c r="CP38" s="161"/>
      <c r="CQ38" s="161" t="s">
        <v>180</v>
      </c>
      <c r="CR38" s="161"/>
      <c r="CS38" s="161"/>
      <c r="CT38" s="162"/>
      <c r="CU38" s="166"/>
      <c r="CV38" s="161"/>
      <c r="CW38" s="161"/>
      <c r="CX38" s="161"/>
      <c r="CY38" s="161"/>
      <c r="CZ38" s="162"/>
      <c r="DA38" s="166"/>
      <c r="DB38" s="161"/>
      <c r="DC38" s="161"/>
      <c r="DD38" s="161"/>
      <c r="DE38" s="162"/>
      <c r="DF38" s="166"/>
      <c r="DG38" s="170"/>
      <c r="DH38" s="170"/>
    </row>
    <row r="39" spans="1:112" s="7" customFormat="1" x14ac:dyDescent="0.25">
      <c r="A39" s="62"/>
      <c r="B39" s="112"/>
      <c r="C39" s="62"/>
      <c r="D39" s="61" t="s">
        <v>5</v>
      </c>
      <c r="E39" s="57">
        <f>'Wasserversorger &amp; Aufbereitung'!BK20</f>
        <v>26.4</v>
      </c>
      <c r="F39" s="58" t="s">
        <v>8</v>
      </c>
      <c r="G39" s="118"/>
      <c r="H39" s="110"/>
      <c r="I39" s="58"/>
      <c r="J39" s="61" t="s">
        <v>10</v>
      </c>
      <c r="K39" s="57">
        <f>'Wasserversorger &amp; Aufbereitung'!BK13</f>
        <v>97.600000000000009</v>
      </c>
      <c r="L39" s="58" t="s">
        <v>8</v>
      </c>
      <c r="M39" s="111"/>
      <c r="N39" s="62"/>
      <c r="O39" s="62"/>
      <c r="P39" s="205"/>
      <c r="Q39" s="49"/>
      <c r="R39" s="205"/>
      <c r="S39" s="205"/>
      <c r="T39" s="205"/>
      <c r="U39" s="49"/>
      <c r="V39" s="49"/>
      <c r="W39" s="49"/>
      <c r="X39" s="205"/>
      <c r="Y39" s="205"/>
      <c r="Z39" s="49"/>
      <c r="AA39" s="49"/>
      <c r="AB39" s="49"/>
      <c r="AC39" s="49"/>
      <c r="AD39" s="49"/>
      <c r="AE39" s="49"/>
      <c r="AF39" s="49"/>
      <c r="AG39" s="49"/>
      <c r="AH39" s="49"/>
      <c r="AI39" s="49"/>
      <c r="AJ39" s="49"/>
      <c r="AK39" s="49"/>
      <c r="AL39" s="49"/>
      <c r="AM39" s="49"/>
      <c r="AN39" s="49"/>
      <c r="AO39" s="205"/>
      <c r="AP39" s="205"/>
      <c r="AQ39" s="49"/>
      <c r="AR39" s="49"/>
      <c r="AS39" s="49"/>
      <c r="AT39" s="49"/>
      <c r="AU39" s="49"/>
      <c r="AV39" s="49"/>
      <c r="AW39" s="49"/>
      <c r="AX39" s="49"/>
      <c r="AY39" s="49"/>
      <c r="AZ39" s="49"/>
      <c r="BA39" s="170"/>
      <c r="BB39" s="161"/>
      <c r="BC39" s="162"/>
      <c r="BD39" s="163"/>
      <c r="BE39" s="164"/>
      <c r="BF39" s="161"/>
      <c r="BG39" s="161"/>
      <c r="BH39" s="165"/>
      <c r="BI39" s="161"/>
      <c r="BJ39" s="162"/>
      <c r="BK39" s="164"/>
      <c r="BL39" s="161"/>
      <c r="BM39" s="161"/>
      <c r="BN39" s="165"/>
      <c r="BO39" s="161"/>
      <c r="BP39" s="162"/>
      <c r="BQ39" s="164"/>
      <c r="BR39" s="161"/>
      <c r="BS39" s="161"/>
      <c r="BT39" s="165"/>
      <c r="BU39" s="161"/>
      <c r="BV39" s="162"/>
      <c r="BW39" s="164"/>
      <c r="BX39" s="161"/>
      <c r="BY39" s="161"/>
      <c r="BZ39" s="165"/>
      <c r="CA39" s="161"/>
      <c r="CB39" s="162"/>
      <c r="CC39" s="166"/>
      <c r="CD39" s="161"/>
      <c r="CE39" s="161"/>
      <c r="CF39" s="165"/>
      <c r="CG39" s="161"/>
      <c r="CH39" s="162"/>
      <c r="CI39" s="166"/>
      <c r="CJ39" s="161"/>
      <c r="CK39" s="161"/>
      <c r="CL39" s="161"/>
      <c r="CM39" s="161"/>
      <c r="CN39" s="162"/>
      <c r="CO39" s="166"/>
      <c r="CP39" s="161"/>
      <c r="CQ39" s="161" t="s">
        <v>181</v>
      </c>
      <c r="CR39" s="161"/>
      <c r="CS39" s="161"/>
      <c r="CT39" s="162"/>
      <c r="CU39" s="166"/>
      <c r="CV39" s="161"/>
      <c r="CW39" s="161"/>
      <c r="CX39" s="161"/>
      <c r="CY39" s="161"/>
      <c r="CZ39" s="162"/>
      <c r="DA39" s="166"/>
      <c r="DB39" s="161"/>
      <c r="DC39" s="161"/>
      <c r="DD39" s="161"/>
      <c r="DE39" s="162"/>
      <c r="DF39" s="166"/>
      <c r="DG39" s="43"/>
      <c r="DH39" s="43"/>
    </row>
    <row r="40" spans="1:112" s="7" customFormat="1" ht="15" customHeight="1" x14ac:dyDescent="0.25">
      <c r="A40" s="62"/>
      <c r="B40" s="112"/>
      <c r="C40" s="62"/>
      <c r="D40" s="61" t="s">
        <v>6</v>
      </c>
      <c r="E40" s="57">
        <f>'Wasserversorger &amp; Aufbereitung'!BK21</f>
        <v>11.2</v>
      </c>
      <c r="F40" s="58" t="s">
        <v>8</v>
      </c>
      <c r="G40" s="118"/>
      <c r="H40" s="110"/>
      <c r="I40" s="58"/>
      <c r="J40" s="61" t="s">
        <v>3</v>
      </c>
      <c r="K40" s="57">
        <f>'Wasserversorger &amp; Aufbereitung'!BK14</f>
        <v>22</v>
      </c>
      <c r="L40" s="58" t="s">
        <v>8</v>
      </c>
      <c r="M40" s="111"/>
      <c r="N40" s="62"/>
      <c r="O40" s="62"/>
      <c r="P40" s="205"/>
      <c r="Q40" s="205"/>
      <c r="R40" s="205"/>
      <c r="S40" s="205"/>
      <c r="T40" s="205"/>
      <c r="U40" s="205"/>
      <c r="V40" s="205"/>
      <c r="W40" s="205"/>
      <c r="X40" s="205"/>
      <c r="Y40" s="205"/>
      <c r="Z40" s="205"/>
      <c r="AA40" s="205"/>
      <c r="AB40" s="205"/>
      <c r="AC40" s="205"/>
      <c r="AD40" s="205"/>
      <c r="AE40" s="205"/>
      <c r="AF40" s="205"/>
      <c r="AG40" s="205"/>
      <c r="AH40" s="205"/>
      <c r="AI40" s="205"/>
      <c r="AJ40" s="205"/>
      <c r="AK40" s="205"/>
      <c r="AL40" s="205"/>
      <c r="AM40" s="205"/>
      <c r="AN40" s="205"/>
      <c r="AO40" s="205"/>
      <c r="AP40" s="205"/>
      <c r="AQ40" s="205"/>
      <c r="AR40" s="205"/>
      <c r="AS40" s="205"/>
      <c r="AT40" s="205"/>
      <c r="AU40" s="205"/>
      <c r="AV40" s="205"/>
      <c r="AW40" s="205"/>
      <c r="AX40" s="205"/>
      <c r="AY40" s="205"/>
      <c r="AZ40" s="205"/>
      <c r="BA40" s="170"/>
      <c r="BB40" s="161"/>
      <c r="BC40" s="163"/>
      <c r="BD40" s="163"/>
      <c r="BE40" s="192"/>
      <c r="BF40" s="161"/>
      <c r="BG40" s="161"/>
      <c r="BH40" s="165"/>
      <c r="BI40" s="161"/>
      <c r="BJ40" s="163"/>
      <c r="BK40" s="192"/>
      <c r="BL40" s="161"/>
      <c r="BM40" s="161"/>
      <c r="BN40" s="165"/>
      <c r="BO40" s="161"/>
      <c r="BP40" s="163"/>
      <c r="BQ40" s="192"/>
      <c r="BR40" s="161"/>
      <c r="BS40" s="161"/>
      <c r="BT40" s="165"/>
      <c r="BU40" s="161"/>
      <c r="BV40" s="163"/>
      <c r="BW40" s="192"/>
      <c r="BX40" s="161"/>
      <c r="BY40" s="161"/>
      <c r="BZ40" s="165"/>
      <c r="CA40" s="161"/>
      <c r="CB40" s="163"/>
      <c r="CC40" s="163"/>
      <c r="CD40" s="161"/>
      <c r="CE40" s="161"/>
      <c r="CF40" s="165"/>
      <c r="CG40" s="161"/>
      <c r="CH40" s="163"/>
      <c r="CI40" s="163"/>
      <c r="CJ40" s="161"/>
      <c r="CK40" s="161"/>
      <c r="CL40" s="161"/>
      <c r="CM40" s="161"/>
      <c r="CN40" s="163"/>
      <c r="CO40" s="163"/>
      <c r="CP40" s="161"/>
      <c r="CQ40" s="161"/>
      <c r="CR40" s="161"/>
      <c r="CS40" s="161"/>
      <c r="CT40" s="163"/>
      <c r="CU40" s="163"/>
      <c r="CV40" s="161"/>
      <c r="CW40" s="161"/>
      <c r="CX40" s="161"/>
      <c r="CY40" s="161"/>
      <c r="CZ40" s="163"/>
      <c r="DA40" s="163"/>
      <c r="DB40" s="161"/>
      <c r="DC40" s="161"/>
      <c r="DD40" s="161"/>
      <c r="DE40" s="163"/>
      <c r="DF40" s="163"/>
      <c r="DG40" s="43"/>
      <c r="DH40" s="43"/>
    </row>
    <row r="41" spans="1:112" s="7" customFormat="1" x14ac:dyDescent="0.25">
      <c r="A41" s="62"/>
      <c r="B41" s="112"/>
      <c r="C41" s="62"/>
      <c r="D41" s="64" t="s">
        <v>7</v>
      </c>
      <c r="E41" s="57">
        <f>'Wasserversorger &amp; Aufbereitung'!BK22</f>
        <v>7.12</v>
      </c>
      <c r="F41" s="63" t="s">
        <v>8</v>
      </c>
      <c r="G41" s="118"/>
      <c r="H41" s="110"/>
      <c r="I41" s="58"/>
      <c r="J41" s="61" t="s">
        <v>4</v>
      </c>
      <c r="K41" s="57">
        <f>'Wasserversorger &amp; Aufbereitung'!BK15</f>
        <v>17</v>
      </c>
      <c r="L41" s="58" t="s">
        <v>8</v>
      </c>
      <c r="M41" s="111"/>
      <c r="N41" s="62"/>
      <c r="O41" s="62"/>
      <c r="P41" s="205"/>
      <c r="Q41" s="205"/>
      <c r="R41" s="205"/>
      <c r="S41" s="205"/>
      <c r="T41" s="205"/>
      <c r="U41" s="205"/>
      <c r="V41" s="205"/>
      <c r="W41" s="205"/>
      <c r="X41" s="205"/>
      <c r="Y41" s="205"/>
      <c r="Z41" s="205"/>
      <c r="AA41" s="205"/>
      <c r="AB41" s="205"/>
      <c r="AC41" s="205"/>
      <c r="AD41" s="205"/>
      <c r="AE41" s="205"/>
      <c r="AF41" s="205"/>
      <c r="AG41" s="205"/>
      <c r="AH41" s="205"/>
      <c r="AI41" s="205"/>
      <c r="AJ41" s="205"/>
      <c r="AK41" s="205"/>
      <c r="AL41" s="205"/>
      <c r="AM41" s="205"/>
      <c r="AN41" s="205"/>
      <c r="AO41" s="205"/>
      <c r="AP41" s="205"/>
      <c r="AQ41" s="205"/>
      <c r="AR41" s="205"/>
      <c r="AS41" s="205"/>
      <c r="AT41" s="205"/>
      <c r="AU41" s="205"/>
      <c r="AV41" s="205"/>
      <c r="AW41" s="205"/>
      <c r="AX41" s="205"/>
      <c r="AY41" s="205"/>
      <c r="AZ41" s="205"/>
      <c r="BA41" s="170"/>
      <c r="BB41" s="161"/>
      <c r="BC41" s="163"/>
      <c r="BD41" s="163"/>
      <c r="BE41" s="192"/>
      <c r="BF41" s="161"/>
      <c r="BG41" s="161"/>
      <c r="BH41" s="165"/>
      <c r="BI41" s="161"/>
      <c r="BJ41" s="163"/>
      <c r="BK41" s="192"/>
      <c r="BL41" s="161"/>
      <c r="BM41" s="161"/>
      <c r="BN41" s="165"/>
      <c r="BO41" s="161"/>
      <c r="BP41" s="163"/>
      <c r="BQ41" s="192"/>
      <c r="BR41" s="161"/>
      <c r="BS41" s="161"/>
      <c r="BT41" s="165"/>
      <c r="BU41" s="161"/>
      <c r="BV41" s="163"/>
      <c r="BW41" s="192"/>
      <c r="BX41" s="161"/>
      <c r="BY41" s="161"/>
      <c r="BZ41" s="165"/>
      <c r="CA41" s="161"/>
      <c r="CB41" s="163"/>
      <c r="CC41" s="163"/>
      <c r="CD41" s="161"/>
      <c r="CE41" s="161"/>
      <c r="CF41" s="165"/>
      <c r="CG41" s="161"/>
      <c r="CH41" s="163"/>
      <c r="CI41" s="163"/>
      <c r="CJ41" s="161"/>
      <c r="CK41" s="161"/>
      <c r="CL41" s="161"/>
      <c r="CM41" s="161"/>
      <c r="CN41" s="163"/>
      <c r="CO41" s="163"/>
      <c r="CP41" s="161"/>
      <c r="CQ41" s="161"/>
      <c r="CR41" s="161"/>
      <c r="CS41" s="161"/>
      <c r="CT41" s="163"/>
      <c r="CU41" s="163"/>
      <c r="CV41" s="161"/>
      <c r="CW41" s="161"/>
      <c r="CX41" s="161"/>
      <c r="CY41" s="161"/>
      <c r="CZ41" s="163"/>
      <c r="DA41" s="163"/>
      <c r="DB41" s="161"/>
      <c r="DC41" s="161"/>
      <c r="DD41" s="161"/>
      <c r="DE41" s="163"/>
      <c r="DF41" s="163"/>
      <c r="DG41" s="43"/>
      <c r="DH41" s="43"/>
    </row>
    <row r="42" spans="1:112" s="7" customFormat="1" x14ac:dyDescent="0.25">
      <c r="A42" s="62"/>
      <c r="B42" s="112"/>
      <c r="C42" s="62"/>
      <c r="D42" s="63"/>
      <c r="E42" s="64"/>
      <c r="F42" s="64"/>
      <c r="G42" s="119"/>
      <c r="H42" s="112"/>
      <c r="I42" s="58"/>
      <c r="J42" s="61" t="s">
        <v>30</v>
      </c>
      <c r="K42" s="57">
        <f>'Wasserversorger &amp; Aufbereitung'!BK16</f>
        <v>10</v>
      </c>
      <c r="L42" s="58" t="s">
        <v>8</v>
      </c>
      <c r="M42" s="111"/>
      <c r="N42" s="62"/>
      <c r="O42" s="62"/>
      <c r="P42" s="205"/>
      <c r="Q42" s="205"/>
      <c r="R42" s="205"/>
      <c r="S42" s="205"/>
      <c r="T42" s="205"/>
      <c r="U42" s="205"/>
      <c r="V42" s="205"/>
      <c r="W42" s="205"/>
      <c r="X42" s="205"/>
      <c r="Y42" s="205"/>
      <c r="Z42" s="205"/>
      <c r="AA42" s="205"/>
      <c r="AB42" s="205"/>
      <c r="AC42" s="205"/>
      <c r="AD42" s="205"/>
      <c r="AE42" s="205"/>
      <c r="AF42" s="205"/>
      <c r="AG42" s="205"/>
      <c r="AH42" s="205"/>
      <c r="AI42" s="205"/>
      <c r="AJ42" s="205"/>
      <c r="AK42" s="205"/>
      <c r="AL42" s="205"/>
      <c r="AM42" s="205"/>
      <c r="AN42" s="205"/>
      <c r="AO42" s="205"/>
      <c r="AP42" s="205"/>
      <c r="AQ42" s="205"/>
      <c r="AR42" s="205"/>
      <c r="AS42" s="205"/>
      <c r="AT42" s="205"/>
      <c r="AU42" s="205"/>
      <c r="AV42" s="205"/>
      <c r="AW42" s="205"/>
      <c r="AX42" s="205"/>
      <c r="AY42" s="205"/>
      <c r="AZ42" s="205"/>
      <c r="BA42" s="170"/>
      <c r="BB42" s="161"/>
      <c r="BC42" s="163"/>
      <c r="BD42" s="163"/>
      <c r="BE42" s="192"/>
      <c r="BF42" s="161"/>
      <c r="BG42" s="161"/>
      <c r="BH42" s="165"/>
      <c r="BI42" s="161"/>
      <c r="BJ42" s="163"/>
      <c r="BK42" s="192"/>
      <c r="BL42" s="161"/>
      <c r="BM42" s="161"/>
      <c r="BN42" s="165"/>
      <c r="BO42" s="161"/>
      <c r="BP42" s="163"/>
      <c r="BQ42" s="192"/>
      <c r="BR42" s="161"/>
      <c r="BS42" s="161"/>
      <c r="BT42" s="165"/>
      <c r="BU42" s="161"/>
      <c r="BV42" s="163"/>
      <c r="BW42" s="192"/>
      <c r="BX42" s="161"/>
      <c r="BY42" s="161"/>
      <c r="BZ42" s="165"/>
      <c r="CA42" s="161"/>
      <c r="CB42" s="163"/>
      <c r="CC42" s="163"/>
      <c r="CD42" s="161"/>
      <c r="CE42" s="161"/>
      <c r="CF42" s="165"/>
      <c r="CG42" s="161"/>
      <c r="CH42" s="163"/>
      <c r="CI42" s="163"/>
      <c r="CJ42" s="161"/>
      <c r="CK42" s="161"/>
      <c r="CL42" s="161"/>
      <c r="CM42" s="161"/>
      <c r="CN42" s="163"/>
      <c r="CO42" s="163"/>
      <c r="CP42" s="161"/>
      <c r="CQ42" s="161"/>
      <c r="CR42" s="161"/>
      <c r="CS42" s="161"/>
      <c r="CT42" s="163"/>
      <c r="CU42" s="163"/>
      <c r="CV42" s="161"/>
      <c r="CW42" s="161"/>
      <c r="CX42" s="161"/>
      <c r="CY42" s="161"/>
      <c r="CZ42" s="163"/>
      <c r="DA42" s="163"/>
      <c r="DB42" s="161"/>
      <c r="DC42" s="161"/>
      <c r="DD42" s="161"/>
      <c r="DE42" s="163"/>
      <c r="DF42" s="163"/>
      <c r="DG42" s="43"/>
      <c r="DH42" s="43"/>
    </row>
    <row r="43" spans="1:112" s="7" customFormat="1" ht="15.75" thickBot="1" x14ac:dyDescent="0.3">
      <c r="A43" s="62"/>
      <c r="B43" s="113"/>
      <c r="C43" s="114"/>
      <c r="D43" s="120"/>
      <c r="E43" s="121"/>
      <c r="F43" s="121"/>
      <c r="G43" s="122"/>
      <c r="H43" s="113"/>
      <c r="I43" s="114"/>
      <c r="J43" s="114"/>
      <c r="K43" s="114"/>
      <c r="L43" s="114"/>
      <c r="M43" s="115"/>
      <c r="N43" s="62"/>
      <c r="O43" s="62"/>
      <c r="P43" s="205"/>
      <c r="Q43" s="205"/>
      <c r="R43" s="205"/>
      <c r="S43" s="205"/>
      <c r="T43" s="205"/>
      <c r="U43" s="205"/>
      <c r="V43" s="205"/>
      <c r="W43" s="205"/>
      <c r="X43" s="205"/>
      <c r="Y43" s="205"/>
      <c r="Z43" s="205"/>
      <c r="AA43" s="205"/>
      <c r="AB43" s="205"/>
      <c r="AC43" s="205"/>
      <c r="AD43" s="205"/>
      <c r="AE43" s="205"/>
      <c r="AF43" s="205"/>
      <c r="AG43" s="205"/>
      <c r="AH43" s="205"/>
      <c r="AI43" s="205"/>
      <c r="AJ43" s="205"/>
      <c r="AK43" s="205"/>
      <c r="AL43" s="205"/>
      <c r="AM43" s="205"/>
      <c r="AN43" s="205"/>
      <c r="AO43" s="205"/>
      <c r="AP43" s="205"/>
      <c r="AQ43" s="205"/>
      <c r="AR43" s="205"/>
      <c r="AS43" s="205"/>
      <c r="AT43" s="205"/>
      <c r="AU43" s="205"/>
      <c r="AV43" s="205"/>
      <c r="AW43" s="205"/>
      <c r="AX43" s="205"/>
      <c r="AY43" s="205"/>
      <c r="AZ43" s="205"/>
      <c r="BA43" s="170"/>
      <c r="BB43" s="161"/>
      <c r="BC43" s="163"/>
      <c r="BD43" s="163"/>
      <c r="BE43" s="192"/>
      <c r="BF43" s="161"/>
      <c r="BG43" s="161"/>
      <c r="BH43" s="165"/>
      <c r="BI43" s="161"/>
      <c r="BJ43" s="163"/>
      <c r="BK43" s="192"/>
      <c r="BL43" s="161"/>
      <c r="BM43" s="161"/>
      <c r="BN43" s="165"/>
      <c r="BO43" s="161"/>
      <c r="BP43" s="163"/>
      <c r="BQ43" s="192"/>
      <c r="BR43" s="161"/>
      <c r="BS43" s="161"/>
      <c r="BT43" s="165"/>
      <c r="BU43" s="161"/>
      <c r="BV43" s="163"/>
      <c r="BW43" s="192"/>
      <c r="BX43" s="161"/>
      <c r="BY43" s="161"/>
      <c r="BZ43" s="165"/>
      <c r="CA43" s="161"/>
      <c r="CB43" s="163"/>
      <c r="CC43" s="163"/>
      <c r="CD43" s="161"/>
      <c r="CE43" s="161"/>
      <c r="CF43" s="165"/>
      <c r="CG43" s="161"/>
      <c r="CH43" s="163"/>
      <c r="CI43" s="163"/>
      <c r="CJ43" s="161"/>
      <c r="CK43" s="161"/>
      <c r="CL43" s="161"/>
      <c r="CM43" s="161"/>
      <c r="CN43" s="163"/>
      <c r="CO43" s="163"/>
      <c r="CP43" s="161"/>
      <c r="CQ43" s="161"/>
      <c r="CR43" s="161"/>
      <c r="CS43" s="161"/>
      <c r="CT43" s="163"/>
      <c r="CU43" s="163"/>
      <c r="CV43" s="161"/>
      <c r="CW43" s="161"/>
      <c r="CX43" s="161"/>
      <c r="CY43" s="161"/>
      <c r="CZ43" s="163"/>
      <c r="DA43" s="163"/>
      <c r="DB43" s="161"/>
      <c r="DC43" s="161"/>
      <c r="DD43" s="161"/>
      <c r="DE43" s="163"/>
      <c r="DF43" s="163"/>
      <c r="DG43" s="43"/>
      <c r="DH43" s="43"/>
    </row>
    <row r="44" spans="1:112" s="7" customFormat="1" ht="15.75" thickBot="1" x14ac:dyDescent="0.3">
      <c r="A44" s="62"/>
      <c r="B44" s="62"/>
      <c r="C44" s="62"/>
      <c r="D44" s="58"/>
      <c r="E44" s="58"/>
      <c r="F44" s="58"/>
      <c r="G44" s="58"/>
      <c r="H44" s="58"/>
      <c r="I44" s="58"/>
      <c r="J44" s="58"/>
      <c r="K44" s="58"/>
      <c r="L44" s="62"/>
      <c r="M44" s="62"/>
      <c r="N44" s="62"/>
      <c r="O44" s="62"/>
      <c r="P44" s="205"/>
      <c r="Q44" s="205"/>
      <c r="R44" s="205"/>
      <c r="S44" s="205"/>
      <c r="T44" s="205"/>
      <c r="U44" s="205"/>
      <c r="V44" s="205"/>
      <c r="W44" s="205"/>
      <c r="X44" s="205"/>
      <c r="Y44" s="205"/>
      <c r="Z44" s="205"/>
      <c r="AA44" s="205"/>
      <c r="AB44" s="205"/>
      <c r="AC44" s="205"/>
      <c r="AD44" s="205"/>
      <c r="AE44" s="205"/>
      <c r="AF44" s="205"/>
      <c r="AG44" s="205"/>
      <c r="AH44" s="205"/>
      <c r="AI44" s="205"/>
      <c r="AJ44" s="205"/>
      <c r="AK44" s="205"/>
      <c r="AL44" s="205"/>
      <c r="AM44" s="205"/>
      <c r="AN44" s="205"/>
      <c r="AO44" s="205"/>
      <c r="AP44" s="205"/>
      <c r="AQ44" s="205"/>
      <c r="AR44" s="205"/>
      <c r="AS44" s="205"/>
      <c r="AT44" s="205"/>
      <c r="AU44" s="205"/>
      <c r="AV44" s="205"/>
      <c r="AW44" s="205"/>
      <c r="AX44" s="205"/>
      <c r="AY44" s="205"/>
      <c r="AZ44" s="205"/>
      <c r="BA44" s="170"/>
      <c r="BB44" s="161"/>
      <c r="BC44" s="163"/>
      <c r="BD44" s="163"/>
      <c r="BE44" s="192"/>
      <c r="BF44" s="161"/>
      <c r="BG44" s="161"/>
      <c r="BH44" s="165"/>
      <c r="BI44" s="161"/>
      <c r="BJ44" s="163"/>
      <c r="BK44" s="192"/>
      <c r="BL44" s="161"/>
      <c r="BM44" s="161"/>
      <c r="BN44" s="165"/>
      <c r="BO44" s="161"/>
      <c r="BP44" s="163"/>
      <c r="BQ44" s="192"/>
      <c r="BR44" s="161"/>
      <c r="BS44" s="161"/>
      <c r="BT44" s="165"/>
      <c r="BU44" s="161"/>
      <c r="BV44" s="163"/>
      <c r="BW44" s="192"/>
      <c r="BX44" s="161"/>
      <c r="BY44" s="161"/>
      <c r="BZ44" s="165"/>
      <c r="CA44" s="161"/>
      <c r="CB44" s="163"/>
      <c r="CC44" s="163"/>
      <c r="CD44" s="161"/>
      <c r="CE44" s="161"/>
      <c r="CF44" s="165"/>
      <c r="CG44" s="161"/>
      <c r="CH44" s="163"/>
      <c r="CI44" s="163"/>
      <c r="CJ44" s="161"/>
      <c r="CK44" s="161"/>
      <c r="CL44" s="161"/>
      <c r="CM44" s="161"/>
      <c r="CN44" s="163"/>
      <c r="CO44" s="163"/>
      <c r="CP44" s="161"/>
      <c r="CQ44" s="161"/>
      <c r="CR44" s="161"/>
      <c r="CS44" s="161"/>
      <c r="CT44" s="163"/>
      <c r="CU44" s="163"/>
      <c r="CV44" s="161"/>
      <c r="CW44" s="161"/>
      <c r="CX44" s="161"/>
      <c r="CY44" s="161"/>
      <c r="CZ44" s="163"/>
      <c r="DA44" s="163"/>
      <c r="DB44" s="161"/>
      <c r="DC44" s="161"/>
      <c r="DD44" s="161"/>
      <c r="DE44" s="163"/>
      <c r="DF44" s="163"/>
      <c r="DG44" s="43"/>
      <c r="DH44" s="43"/>
    </row>
    <row r="45" spans="1:112" s="7" customFormat="1" ht="21" customHeight="1" x14ac:dyDescent="0.25">
      <c r="A45" s="62"/>
      <c r="B45" s="62"/>
      <c r="C45" s="62"/>
      <c r="D45" s="63"/>
      <c r="E45" s="64"/>
      <c r="F45" s="58"/>
      <c r="G45" s="63"/>
      <c r="H45" s="62"/>
      <c r="I45" s="62"/>
      <c r="J45" s="62"/>
      <c r="K45" s="62"/>
      <c r="L45" s="62"/>
      <c r="M45" s="62"/>
      <c r="N45" s="62"/>
      <c r="O45" s="62"/>
      <c r="P45" s="199"/>
      <c r="Q45" s="31"/>
      <c r="R45" s="199"/>
      <c r="S45" s="199"/>
      <c r="T45" s="199"/>
      <c r="U45" s="31"/>
      <c r="V45" s="31"/>
      <c r="W45" s="31"/>
      <c r="X45" s="199"/>
      <c r="Y45" s="199"/>
      <c r="Z45" s="31"/>
      <c r="AA45" s="31"/>
      <c r="AB45" s="32"/>
      <c r="AC45" s="32"/>
      <c r="AD45" s="37"/>
      <c r="AE45" s="37"/>
      <c r="AF45" s="37"/>
      <c r="AG45" s="37"/>
      <c r="AH45" s="37"/>
      <c r="AI45" s="37"/>
      <c r="AJ45" s="32"/>
      <c r="AK45" s="32"/>
      <c r="AL45" s="32"/>
      <c r="AM45" s="32"/>
      <c r="AN45" s="32"/>
      <c r="AO45" s="32"/>
      <c r="AP45" s="32"/>
      <c r="AQ45" s="32"/>
      <c r="AR45" s="32"/>
      <c r="AS45" s="32"/>
      <c r="AT45" s="32"/>
      <c r="AU45" s="32"/>
      <c r="AV45" s="32"/>
      <c r="AW45" s="31"/>
      <c r="AX45" s="31"/>
      <c r="AY45" s="31"/>
      <c r="AZ45" s="36"/>
      <c r="BA45" s="31"/>
      <c r="BB45" s="36" t="s">
        <v>240</v>
      </c>
      <c r="BC45" s="33"/>
      <c r="BD45" s="31"/>
      <c r="BE45" s="31"/>
      <c r="BF45" s="33"/>
      <c r="BG45" s="31"/>
      <c r="BH45" s="31"/>
      <c r="BI45" s="33"/>
      <c r="BJ45" s="31"/>
      <c r="BK45" s="31"/>
      <c r="BL45" s="33"/>
      <c r="BM45" s="31"/>
      <c r="BN45" s="31"/>
      <c r="BO45" s="33"/>
      <c r="BP45" s="31"/>
      <c r="BQ45" s="31"/>
      <c r="BR45" s="33"/>
      <c r="BS45" s="31"/>
      <c r="BT45" s="31"/>
      <c r="BU45" s="33"/>
      <c r="BV45" s="31"/>
      <c r="BW45" s="31"/>
      <c r="BX45" s="33"/>
      <c r="BY45" s="31"/>
      <c r="BZ45" s="31"/>
      <c r="CA45" s="31"/>
      <c r="CB45" s="31"/>
      <c r="CC45" s="31"/>
      <c r="CD45" s="33"/>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row>
    <row r="46" spans="1:112" s="7" customFormat="1" ht="21" x14ac:dyDescent="0.35">
      <c r="A46" s="62"/>
      <c r="B46" s="62"/>
      <c r="C46" s="62"/>
      <c r="D46" s="63"/>
      <c r="E46" s="64"/>
      <c r="F46" s="58"/>
      <c r="G46" s="63"/>
      <c r="H46" s="62"/>
      <c r="I46" s="62"/>
      <c r="J46" s="62"/>
      <c r="K46" s="62"/>
      <c r="L46" s="62"/>
      <c r="M46" s="62"/>
      <c r="N46" s="62"/>
      <c r="O46" s="62"/>
      <c r="P46" s="27"/>
      <c r="Q46" s="148" t="s">
        <v>236</v>
      </c>
      <c r="R46" s="148"/>
      <c r="S46" s="148"/>
      <c r="T46" s="148"/>
      <c r="U46" s="27"/>
      <c r="V46" s="27"/>
      <c r="W46" s="27"/>
      <c r="X46" s="198"/>
      <c r="Y46" s="198"/>
      <c r="Z46" s="35" t="s">
        <v>250</v>
      </c>
      <c r="AE46" s="54"/>
      <c r="AJ46" s="53"/>
      <c r="AK46" s="53"/>
      <c r="AL46" s="53"/>
      <c r="AM46" s="53"/>
      <c r="AN46" s="53"/>
      <c r="AO46" s="53"/>
      <c r="AP46" s="35"/>
      <c r="AQ46" s="53"/>
      <c r="AS46" s="53"/>
      <c r="AT46" s="53"/>
      <c r="AU46" s="53"/>
      <c r="AV46" s="53"/>
      <c r="AW46" s="27"/>
      <c r="AX46" s="27"/>
      <c r="AY46" s="27"/>
      <c r="AZ46" s="30"/>
      <c r="BA46" s="27"/>
      <c r="BB46" s="27"/>
      <c r="BC46" s="55"/>
      <c r="BD46" s="27"/>
      <c r="BE46" s="27"/>
      <c r="BF46" s="55"/>
      <c r="BG46" s="27"/>
      <c r="BH46" s="27"/>
      <c r="BI46" s="55"/>
      <c r="BJ46" s="27"/>
      <c r="BK46" s="27"/>
      <c r="BL46" s="55"/>
      <c r="BM46" s="27"/>
      <c r="BN46" s="27"/>
      <c r="BO46" s="55"/>
      <c r="BP46" s="27"/>
      <c r="BQ46" s="27"/>
      <c r="BR46" s="55"/>
      <c r="BS46" s="27"/>
      <c r="BT46" s="27"/>
      <c r="BU46" s="55"/>
      <c r="BV46" s="27"/>
      <c r="BW46" s="27"/>
      <c r="BX46" s="55"/>
      <c r="BY46" s="27"/>
      <c r="BZ46" s="27"/>
      <c r="CA46" s="27"/>
      <c r="CB46" s="27"/>
      <c r="CC46" s="27"/>
      <c r="CD46" s="55"/>
      <c r="CE46" s="27"/>
      <c r="CF46" s="27"/>
      <c r="CG46" s="27"/>
      <c r="CH46" s="27"/>
      <c r="CI46" s="27"/>
      <c r="CJ46" s="27"/>
      <c r="CK46" s="27"/>
      <c r="CL46" s="27"/>
      <c r="CM46" s="27"/>
      <c r="CN46" s="27"/>
      <c r="CO46" s="27"/>
      <c r="CP46" s="27"/>
      <c r="CQ46" s="27"/>
      <c r="CR46" s="27"/>
      <c r="CS46" s="27"/>
      <c r="CT46" s="27"/>
      <c r="CU46" s="27"/>
      <c r="CV46" s="27"/>
      <c r="CW46" s="27"/>
      <c r="CX46" s="27"/>
      <c r="CY46" s="27"/>
      <c r="CZ46" s="27"/>
      <c r="DA46" s="27"/>
      <c r="DB46" s="27"/>
      <c r="DC46" s="27"/>
      <c r="DD46" s="27"/>
      <c r="DE46" s="27"/>
      <c r="DF46" s="27"/>
    </row>
    <row r="47" spans="1:112" x14ac:dyDescent="0.25">
      <c r="A47" s="62"/>
      <c r="B47" s="62"/>
      <c r="C47" s="62"/>
      <c r="D47" s="63"/>
      <c r="E47" s="64"/>
      <c r="F47" s="58"/>
      <c r="G47" s="63"/>
      <c r="H47" s="62"/>
      <c r="I47" s="62"/>
      <c r="J47" s="62"/>
      <c r="K47" s="62"/>
      <c r="L47" s="62"/>
      <c r="M47" s="62"/>
      <c r="N47" s="62"/>
      <c r="O47" s="62"/>
      <c r="P47" s="27"/>
      <c r="Q47" s="27"/>
      <c r="R47" s="198"/>
      <c r="S47" s="198"/>
      <c r="T47" s="198"/>
      <c r="U47" s="7"/>
      <c r="V47" s="7"/>
      <c r="W47" s="7"/>
      <c r="X47" s="197"/>
      <c r="Y47" s="197"/>
      <c r="Z47" s="97"/>
      <c r="AA47" s="7"/>
      <c r="AB47" s="54" t="s">
        <v>249</v>
      </c>
      <c r="AC47" s="7"/>
      <c r="AD47" s="7"/>
      <c r="AE47" s="35"/>
      <c r="AF47" s="7"/>
      <c r="AG47" s="7"/>
      <c r="AH47" s="7"/>
      <c r="AI47" s="7"/>
      <c r="AJ47" s="21"/>
      <c r="AK47" s="21"/>
      <c r="AL47" s="21"/>
      <c r="AM47" s="21"/>
      <c r="AN47" s="21"/>
      <c r="AO47" s="21"/>
      <c r="AP47" s="35"/>
      <c r="AQ47" s="35"/>
      <c r="AR47" s="7"/>
      <c r="AS47" s="7"/>
      <c r="AT47" s="7"/>
      <c r="AU47" s="7"/>
      <c r="AV47" s="21"/>
      <c r="AW47" s="21"/>
      <c r="AX47" s="7"/>
      <c r="AY47" s="7"/>
      <c r="AZ47" s="7"/>
      <c r="BA47" s="7"/>
      <c r="BB47" s="7"/>
      <c r="BC47" s="34" t="s">
        <v>339</v>
      </c>
      <c r="BD47" s="7"/>
      <c r="BE47" s="7"/>
      <c r="BF47" s="26"/>
      <c r="BG47" s="7"/>
      <c r="BH47" s="7"/>
      <c r="BI47" s="26"/>
      <c r="BJ47" s="7"/>
      <c r="BK47" s="7"/>
      <c r="BL47" s="26"/>
      <c r="BM47" s="7"/>
      <c r="BN47" s="7"/>
      <c r="BO47" s="26"/>
      <c r="BP47" s="7"/>
      <c r="BQ47" s="7"/>
      <c r="BR47" s="26"/>
      <c r="BS47" s="7"/>
      <c r="BT47" s="7"/>
      <c r="BU47" s="26"/>
      <c r="BV47" s="7"/>
      <c r="BW47" s="7"/>
      <c r="BX47" s="26"/>
      <c r="BY47" s="7"/>
      <c r="BZ47" s="7"/>
      <c r="CA47" s="7"/>
      <c r="CB47" s="7"/>
      <c r="CC47" s="7"/>
      <c r="CD47" s="26"/>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row>
    <row r="48" spans="1:112" x14ac:dyDescent="0.25">
      <c r="A48" s="62"/>
      <c r="B48" s="62"/>
      <c r="C48" s="62"/>
      <c r="D48" s="63"/>
      <c r="E48" s="64"/>
      <c r="F48" s="58"/>
      <c r="G48" s="63"/>
      <c r="H48" s="62"/>
      <c r="I48" s="62"/>
      <c r="J48" s="62"/>
      <c r="K48" s="62"/>
      <c r="L48" s="62"/>
      <c r="M48" s="62"/>
      <c r="N48" s="62"/>
      <c r="O48" s="62"/>
      <c r="P48" s="27"/>
      <c r="Q48" s="52"/>
      <c r="R48" s="7"/>
      <c r="S48" s="28"/>
      <c r="T48" s="198"/>
      <c r="U48" s="7"/>
      <c r="V48" s="7"/>
      <c r="W48" s="7"/>
      <c r="X48" s="197"/>
      <c r="Y48" s="197"/>
      <c r="Z48" s="97" t="s">
        <v>251</v>
      </c>
      <c r="AA48" s="7"/>
      <c r="AB48" s="35" t="s">
        <v>257</v>
      </c>
      <c r="AC48" s="7"/>
      <c r="AD48" s="7"/>
      <c r="AE48" s="35"/>
      <c r="AF48" s="21"/>
      <c r="AG48" s="21"/>
      <c r="AH48" s="21"/>
      <c r="AI48" s="21"/>
      <c r="AJ48" s="21"/>
      <c r="AK48" s="21"/>
      <c r="AL48" s="21"/>
      <c r="AM48" s="21"/>
      <c r="AN48" s="21"/>
      <c r="AO48" s="21"/>
      <c r="AP48" s="35"/>
      <c r="AQ48" s="35"/>
      <c r="AR48" s="7"/>
      <c r="AS48" s="7"/>
      <c r="AT48" s="7"/>
      <c r="AU48" s="7"/>
      <c r="AV48" s="21"/>
      <c r="AW48" s="21"/>
      <c r="AX48" s="7"/>
      <c r="AY48" s="7"/>
      <c r="AZ48" s="7"/>
      <c r="BA48" s="7"/>
      <c r="BB48" s="7"/>
      <c r="BC48" s="26"/>
      <c r="BD48" s="7"/>
      <c r="BE48" s="7"/>
      <c r="BF48" s="26"/>
      <c r="BG48" s="7"/>
      <c r="BH48" s="7"/>
      <c r="BI48" s="26"/>
      <c r="BJ48" s="7"/>
      <c r="BK48" s="7"/>
      <c r="BL48" s="26"/>
      <c r="BM48" s="7"/>
      <c r="BN48" s="7"/>
      <c r="BO48" s="26"/>
      <c r="BP48" s="7"/>
      <c r="BQ48" s="7"/>
      <c r="BR48" s="26"/>
      <c r="BS48" s="7"/>
      <c r="BT48" s="7"/>
      <c r="BU48" s="26"/>
      <c r="BV48" s="7"/>
      <c r="BW48" s="7"/>
      <c r="BX48" s="26"/>
      <c r="BY48" s="7"/>
      <c r="BZ48" s="7"/>
      <c r="CA48" s="7"/>
      <c r="CB48" s="7"/>
      <c r="CC48" s="7"/>
      <c r="CD48" s="26"/>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row>
    <row r="49" spans="1:110" x14ac:dyDescent="0.25">
      <c r="A49" s="58"/>
      <c r="B49" s="58"/>
      <c r="C49" s="58"/>
      <c r="D49" s="58"/>
      <c r="E49" s="58"/>
      <c r="F49" s="58"/>
      <c r="G49" s="58"/>
      <c r="H49" s="58"/>
      <c r="I49" s="58"/>
      <c r="J49" s="58"/>
      <c r="K49" s="58"/>
      <c r="L49" s="58"/>
      <c r="M49" s="58"/>
      <c r="N49" s="58"/>
      <c r="O49" s="58"/>
      <c r="P49" s="27"/>
      <c r="Q49" s="28" t="s">
        <v>362</v>
      </c>
      <c r="R49" s="7"/>
      <c r="S49" s="198"/>
      <c r="T49" s="198"/>
      <c r="U49" s="7"/>
      <c r="V49" s="7"/>
      <c r="W49" s="7"/>
      <c r="X49" s="197"/>
      <c r="Y49" s="197"/>
      <c r="Z49" s="7"/>
      <c r="AA49" s="7"/>
      <c r="AB49" s="7"/>
      <c r="AC49" s="7"/>
      <c r="AD49" s="7"/>
      <c r="AE49" s="7"/>
      <c r="AF49" s="7"/>
      <c r="AG49" s="7"/>
      <c r="AH49" s="21"/>
      <c r="AI49" s="21"/>
      <c r="AJ49" s="21"/>
      <c r="AK49" s="21"/>
      <c r="AL49" s="7"/>
      <c r="AM49" s="35"/>
      <c r="AN49" s="7"/>
      <c r="AO49" s="7"/>
      <c r="AP49" s="35"/>
      <c r="AQ49" s="35"/>
      <c r="AR49" s="7"/>
      <c r="AS49" s="7"/>
      <c r="AT49" s="7"/>
      <c r="AU49" s="7"/>
      <c r="AV49" s="21"/>
      <c r="AW49" s="21"/>
      <c r="AX49" s="7"/>
      <c r="AY49" s="7"/>
      <c r="AZ49" s="7"/>
      <c r="BA49" s="7"/>
      <c r="BB49" s="7"/>
      <c r="BC49" s="34" t="s">
        <v>340</v>
      </c>
      <c r="BD49" s="7"/>
      <c r="BE49" s="7"/>
      <c r="BF49" s="26"/>
      <c r="BG49" s="7"/>
      <c r="BH49" s="7"/>
      <c r="BI49" s="26"/>
      <c r="BJ49" s="7"/>
      <c r="BK49" s="7"/>
      <c r="BL49" s="26"/>
      <c r="BM49" s="7"/>
      <c r="BN49" s="7"/>
      <c r="BO49" s="26"/>
      <c r="BP49" s="7"/>
      <c r="BQ49" s="7"/>
      <c r="BR49" s="26"/>
      <c r="BS49" s="7"/>
      <c r="BT49" s="7"/>
      <c r="BU49" s="26"/>
      <c r="BV49" s="7"/>
      <c r="BW49" s="7"/>
      <c r="BX49" s="26"/>
      <c r="BY49" s="7"/>
      <c r="BZ49" s="7"/>
      <c r="CA49" s="7"/>
      <c r="CB49" s="7"/>
      <c r="CC49" s="7"/>
      <c r="CD49" s="26"/>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row>
    <row r="50" spans="1:110" x14ac:dyDescent="0.25">
      <c r="A50" s="58"/>
      <c r="B50" s="58"/>
      <c r="C50" s="58"/>
      <c r="D50" s="58"/>
      <c r="E50" s="58"/>
      <c r="F50" s="58"/>
      <c r="G50" s="58"/>
      <c r="H50" s="58"/>
      <c r="I50" s="58"/>
      <c r="J50" s="58"/>
      <c r="K50" s="58"/>
      <c r="L50" s="58"/>
      <c r="M50" s="58"/>
      <c r="N50" s="58"/>
      <c r="O50" s="58"/>
      <c r="P50" s="198"/>
      <c r="Q50" s="240" t="s">
        <v>363</v>
      </c>
      <c r="R50" s="198"/>
      <c r="S50" s="198"/>
      <c r="T50" s="198"/>
      <c r="U50" s="7"/>
      <c r="V50" s="7"/>
      <c r="W50" s="7"/>
      <c r="X50" s="197"/>
      <c r="Y50" s="197"/>
      <c r="Z50" s="35" t="s">
        <v>337</v>
      </c>
      <c r="AA50" s="7"/>
      <c r="AB50" s="7"/>
      <c r="AC50" s="7"/>
      <c r="AD50" s="7"/>
      <c r="AE50" s="7"/>
      <c r="AF50" s="7"/>
      <c r="AG50" s="7"/>
      <c r="AH50" s="21"/>
      <c r="AI50" s="21"/>
      <c r="AJ50" s="21"/>
      <c r="AK50" s="21"/>
      <c r="AL50" s="21"/>
      <c r="AM50" s="21"/>
      <c r="AN50" s="7"/>
      <c r="AO50" s="7"/>
      <c r="AP50" s="7"/>
      <c r="AQ50" s="7"/>
      <c r="AR50" s="7"/>
      <c r="AS50" s="7"/>
      <c r="AT50" s="7"/>
      <c r="AU50" s="7"/>
      <c r="AV50" s="21"/>
      <c r="AW50" s="7"/>
      <c r="AX50" s="7"/>
      <c r="AY50" s="7"/>
      <c r="AZ50" s="7"/>
      <c r="BA50" s="7"/>
      <c r="BB50" s="7"/>
      <c r="BC50" s="34"/>
      <c r="BD50" s="7"/>
      <c r="BE50" s="7"/>
      <c r="BF50" s="26"/>
      <c r="BG50" s="7"/>
      <c r="BH50" s="7"/>
      <c r="BI50" s="26"/>
      <c r="BJ50" s="7"/>
      <c r="BK50" s="7"/>
      <c r="BL50" s="26"/>
      <c r="BM50" s="7"/>
      <c r="BN50" s="7"/>
      <c r="BO50" s="26"/>
      <c r="BP50" s="7"/>
      <c r="BQ50" s="7"/>
      <c r="BR50" s="26"/>
      <c r="BS50" s="7"/>
      <c r="BT50" s="7"/>
      <c r="BU50" s="26"/>
      <c r="BV50" s="7"/>
      <c r="BW50" s="7"/>
      <c r="BX50" s="26"/>
      <c r="BY50" s="7"/>
      <c r="BZ50" s="7"/>
      <c r="CA50" s="7"/>
      <c r="CB50" s="7"/>
      <c r="CC50" s="7"/>
      <c r="CD50" s="26"/>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row>
    <row r="51" spans="1:110" x14ac:dyDescent="0.25">
      <c r="A51" s="58"/>
      <c r="B51" s="58"/>
      <c r="C51" s="58"/>
      <c r="D51" s="58"/>
      <c r="E51" s="58"/>
      <c r="F51" s="58"/>
      <c r="G51" s="58"/>
      <c r="H51" s="58"/>
      <c r="I51" s="58"/>
      <c r="J51" s="58"/>
      <c r="K51" s="58"/>
      <c r="L51" s="58"/>
      <c r="M51" s="58"/>
      <c r="N51" s="58"/>
      <c r="O51" s="58"/>
      <c r="P51" s="198"/>
      <c r="Q51" s="7"/>
      <c r="R51" s="198"/>
      <c r="S51" s="198"/>
      <c r="T51" s="198"/>
      <c r="U51" s="7"/>
      <c r="V51" s="7"/>
      <c r="W51" s="7"/>
      <c r="X51" s="197"/>
      <c r="Y51" s="197"/>
      <c r="Z51" s="28" t="s">
        <v>338</v>
      </c>
      <c r="AA51" s="7"/>
      <c r="AB51" s="7"/>
      <c r="AC51" s="7"/>
      <c r="AD51" s="7"/>
      <c r="AE51" s="7"/>
      <c r="AF51" s="7"/>
      <c r="AG51" s="7"/>
      <c r="AH51" s="21"/>
      <c r="AI51" s="21"/>
      <c r="AJ51" s="21"/>
      <c r="AK51" s="21"/>
      <c r="AL51" s="21"/>
      <c r="AM51" s="21"/>
      <c r="AN51" s="7"/>
      <c r="AO51" s="7"/>
      <c r="AP51" s="7"/>
      <c r="AQ51" s="7"/>
      <c r="AR51" s="7"/>
      <c r="AS51" s="7"/>
      <c r="AT51" s="7"/>
      <c r="AU51" s="7"/>
      <c r="AV51" s="21"/>
      <c r="AW51" s="7"/>
      <c r="AX51" s="7"/>
      <c r="AY51" s="7"/>
      <c r="AZ51" s="7"/>
      <c r="BA51" s="7"/>
      <c r="BB51" s="7"/>
      <c r="BC51" s="34" t="s">
        <v>341</v>
      </c>
      <c r="BD51" s="7"/>
      <c r="BE51" s="7"/>
      <c r="BF51" s="26"/>
      <c r="BG51" s="7"/>
      <c r="BH51" s="7"/>
      <c r="BI51" s="26"/>
      <c r="BJ51" s="7"/>
      <c r="BK51" s="7"/>
      <c r="BL51" s="26"/>
      <c r="BM51" s="7"/>
      <c r="BN51" s="7"/>
      <c r="BO51" s="26"/>
      <c r="BP51" s="7"/>
      <c r="BQ51" s="7"/>
      <c r="BR51" s="26"/>
      <c r="BS51" s="7"/>
      <c r="BT51" s="7"/>
      <c r="BU51" s="26"/>
      <c r="BV51" s="7"/>
      <c r="BW51" s="7"/>
      <c r="BX51" s="26"/>
      <c r="BY51" s="7"/>
      <c r="BZ51" s="7"/>
      <c r="CA51" s="7"/>
      <c r="CB51" s="7"/>
      <c r="CC51" s="7"/>
      <c r="CD51" s="26"/>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row>
    <row r="52" spans="1:110" ht="15.75" thickBot="1" x14ac:dyDescent="0.3">
      <c r="A52" s="58"/>
      <c r="B52" s="58"/>
      <c r="C52" s="58"/>
      <c r="D52" s="58"/>
      <c r="E52" s="58"/>
      <c r="F52" s="58"/>
      <c r="G52" s="58"/>
      <c r="H52" s="58"/>
      <c r="I52" s="58"/>
      <c r="J52" s="58"/>
      <c r="K52" s="58"/>
      <c r="L52" s="58"/>
      <c r="M52" s="58"/>
      <c r="N52" s="58"/>
      <c r="O52" s="58"/>
      <c r="P52" s="198"/>
      <c r="Q52" s="27"/>
      <c r="R52" s="198"/>
      <c r="S52" s="198"/>
      <c r="T52" s="198"/>
      <c r="U52" s="7"/>
      <c r="V52" s="7"/>
      <c r="W52" s="7"/>
      <c r="X52" s="197"/>
      <c r="Y52" s="197"/>
      <c r="Z52" s="7"/>
      <c r="AA52" s="35"/>
      <c r="AB52" s="7"/>
      <c r="AC52" s="7"/>
      <c r="AD52" s="21"/>
      <c r="AE52" s="21"/>
      <c r="AF52" s="21"/>
      <c r="AG52" s="21"/>
      <c r="AH52" s="21"/>
      <c r="AI52" s="21"/>
      <c r="AJ52" s="21"/>
      <c r="AK52" s="21"/>
      <c r="AL52" s="21"/>
      <c r="AM52" s="21"/>
      <c r="AN52" s="21"/>
      <c r="AO52" s="21"/>
      <c r="AP52" s="21"/>
      <c r="AQ52" s="21"/>
      <c r="AR52" s="21"/>
      <c r="AS52" s="21"/>
      <c r="AT52" s="21"/>
      <c r="AU52" s="21"/>
      <c r="AV52" s="21"/>
      <c r="AW52" s="7"/>
      <c r="AX52" s="7"/>
      <c r="AY52" s="7"/>
      <c r="AZ52" s="7"/>
      <c r="BA52" s="7"/>
      <c r="BB52" s="7"/>
      <c r="BC52" s="34"/>
      <c r="BD52" s="7"/>
      <c r="BE52" s="7"/>
      <c r="BF52" s="26"/>
      <c r="BG52" s="7"/>
      <c r="BH52" s="7"/>
      <c r="BI52" s="26"/>
      <c r="BJ52" s="7"/>
      <c r="BK52" s="7"/>
      <c r="BL52" s="26"/>
      <c r="BM52" s="7"/>
      <c r="BN52" s="7"/>
      <c r="BO52" s="26"/>
      <c r="BP52" s="7"/>
      <c r="BQ52" s="7"/>
      <c r="BR52" s="26"/>
      <c r="BS52" s="7"/>
      <c r="BT52" s="7"/>
      <c r="BU52" s="26"/>
      <c r="BV52" s="7"/>
      <c r="BW52" s="7"/>
      <c r="BX52" s="26"/>
      <c r="BY52" s="7"/>
      <c r="BZ52" s="7"/>
      <c r="CA52" s="7"/>
      <c r="CB52" s="7"/>
      <c r="CC52" s="7"/>
      <c r="CD52" s="26"/>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row>
    <row r="53" spans="1:110" x14ac:dyDescent="0.25">
      <c r="A53" s="58"/>
      <c r="B53" s="58"/>
      <c r="C53" s="58"/>
      <c r="D53" s="58"/>
      <c r="E53" s="58"/>
      <c r="F53" s="58"/>
      <c r="G53" s="58"/>
      <c r="H53" s="58"/>
      <c r="I53" s="58"/>
      <c r="J53" s="58"/>
      <c r="K53" s="58"/>
      <c r="L53" s="58"/>
      <c r="M53" s="58"/>
      <c r="N53" s="58"/>
      <c r="O53" s="58"/>
      <c r="P53" s="199"/>
      <c r="Q53" s="31"/>
      <c r="R53" s="199"/>
      <c r="S53" s="199"/>
      <c r="T53" s="199"/>
      <c r="U53" s="31"/>
      <c r="V53" s="31"/>
      <c r="W53" s="31"/>
      <c r="X53" s="199"/>
      <c r="Y53" s="199"/>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3"/>
      <c r="BD53" s="31"/>
      <c r="BE53" s="31"/>
      <c r="BF53" s="33"/>
      <c r="BG53" s="31"/>
      <c r="BH53" s="31"/>
      <c r="BI53" s="33"/>
      <c r="BJ53" s="31"/>
      <c r="BK53" s="31"/>
      <c r="BL53" s="33"/>
      <c r="BM53" s="31"/>
      <c r="BN53" s="31"/>
      <c r="BO53" s="33"/>
      <c r="BP53" s="31"/>
      <c r="BQ53" s="31"/>
      <c r="BR53" s="33"/>
      <c r="BS53" s="31"/>
      <c r="BT53" s="31"/>
      <c r="BU53" s="33"/>
      <c r="BV53" s="31"/>
      <c r="BW53" s="31"/>
      <c r="BX53" s="33"/>
      <c r="BY53" s="31"/>
      <c r="BZ53" s="31"/>
      <c r="CA53" s="31"/>
      <c r="CB53" s="31"/>
      <c r="CC53" s="31"/>
      <c r="CD53" s="33"/>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row>
    <row r="54" spans="1:110" x14ac:dyDescent="0.25">
      <c r="A54" s="58"/>
      <c r="B54" s="58"/>
      <c r="C54" s="58"/>
      <c r="D54" s="58"/>
      <c r="E54" s="58"/>
      <c r="F54" s="58"/>
      <c r="G54" s="58"/>
      <c r="H54" s="58"/>
      <c r="I54" s="58"/>
      <c r="J54" s="58"/>
      <c r="K54" s="58"/>
      <c r="L54" s="58"/>
      <c r="M54" s="58"/>
      <c r="N54" s="58"/>
      <c r="O54" s="58"/>
    </row>
    <row r="55" spans="1:110" x14ac:dyDescent="0.25">
      <c r="A55" s="65"/>
      <c r="B55" s="65"/>
      <c r="C55" s="65"/>
      <c r="D55" s="65"/>
      <c r="E55" s="65"/>
      <c r="F55" s="65"/>
      <c r="G55" s="65"/>
      <c r="H55" s="65"/>
      <c r="I55" s="65"/>
      <c r="J55" s="65"/>
      <c r="K55" s="65"/>
      <c r="L55" s="65"/>
      <c r="M55" s="65"/>
      <c r="N55" s="65"/>
      <c r="AZ55"/>
      <c r="BX55" s="18"/>
      <c r="CA55"/>
      <c r="CD55" s="18"/>
    </row>
    <row r="56" spans="1:110" x14ac:dyDescent="0.25">
      <c r="A56" s="65"/>
      <c r="B56" s="65"/>
      <c r="C56" s="65"/>
      <c r="D56" s="65"/>
      <c r="E56" s="65"/>
      <c r="F56" s="65"/>
      <c r="G56" s="65"/>
      <c r="H56" s="65"/>
      <c r="I56" s="65"/>
      <c r="J56" s="65"/>
      <c r="K56" s="65"/>
      <c r="L56" s="65"/>
      <c r="M56" s="65"/>
      <c r="N56" s="65"/>
    </row>
    <row r="57" spans="1:110" x14ac:dyDescent="0.25">
      <c r="A57" s="65"/>
      <c r="B57" s="65"/>
      <c r="C57" s="65"/>
      <c r="D57" s="65"/>
      <c r="E57" s="65"/>
      <c r="F57" s="65"/>
      <c r="G57" s="65"/>
      <c r="H57" s="65"/>
      <c r="I57" s="65"/>
      <c r="J57" s="65"/>
      <c r="K57" s="65"/>
      <c r="L57" s="65"/>
      <c r="M57" s="65"/>
      <c r="N57" s="65"/>
    </row>
    <row r="58" spans="1:110" ht="15" customHeight="1" x14ac:dyDescent="0.25">
      <c r="A58" s="65"/>
      <c r="B58" s="65"/>
      <c r="C58" s="65"/>
      <c r="D58" s="65"/>
      <c r="E58" s="65"/>
      <c r="F58" s="65"/>
      <c r="G58" s="65"/>
      <c r="H58" s="65"/>
      <c r="I58" s="65"/>
      <c r="J58" s="65"/>
      <c r="K58" s="65"/>
      <c r="L58" s="65"/>
      <c r="M58" s="65"/>
      <c r="N58" s="65"/>
    </row>
    <row r="59" spans="1:110" ht="15" customHeight="1" x14ac:dyDescent="0.25">
      <c r="A59" s="65"/>
      <c r="B59" s="65"/>
      <c r="C59" s="65"/>
      <c r="D59" s="65"/>
      <c r="E59" s="65"/>
      <c r="F59" s="65"/>
      <c r="G59" s="65"/>
      <c r="H59" s="65"/>
      <c r="I59" s="65"/>
      <c r="J59" s="65"/>
      <c r="K59" s="65"/>
      <c r="L59" s="65"/>
      <c r="M59" s="65"/>
      <c r="N59" s="65"/>
    </row>
    <row r="60" spans="1:110" ht="15" customHeight="1" x14ac:dyDescent="0.25">
      <c r="A60" s="65"/>
      <c r="B60" s="65"/>
      <c r="C60" s="65"/>
      <c r="D60" s="65"/>
      <c r="E60" s="65"/>
      <c r="F60" s="65"/>
      <c r="G60" s="65"/>
      <c r="H60" s="65"/>
      <c r="I60" s="65"/>
      <c r="J60" s="65"/>
      <c r="K60" s="65"/>
      <c r="L60" s="65"/>
      <c r="M60" s="65"/>
      <c r="N60" s="65"/>
    </row>
    <row r="61" spans="1:110" ht="15" customHeight="1" x14ac:dyDescent="0.25">
      <c r="A61" s="65"/>
      <c r="B61" s="65"/>
      <c r="C61" s="65"/>
      <c r="D61" s="65"/>
      <c r="E61" s="65"/>
      <c r="F61" s="65"/>
      <c r="G61" s="65"/>
      <c r="H61" s="65"/>
      <c r="I61" s="65"/>
      <c r="J61" s="65"/>
      <c r="K61" s="65"/>
      <c r="L61" s="65"/>
      <c r="M61" s="65"/>
      <c r="N61" s="65"/>
      <c r="AW61" s="196"/>
      <c r="AX61" s="196"/>
      <c r="AY61" s="196"/>
      <c r="AZ61" s="196"/>
      <c r="BA61" s="196"/>
      <c r="BB61" s="196"/>
      <c r="BC61" s="196"/>
      <c r="BD61" s="196"/>
      <c r="BE61" s="196"/>
      <c r="BF61" s="196"/>
      <c r="BG61" s="196"/>
      <c r="BH61" s="196"/>
      <c r="BI61" s="196"/>
      <c r="BJ61" s="196"/>
      <c r="BK61" s="196"/>
      <c r="BL61" s="196"/>
      <c r="BM61" s="196"/>
      <c r="BN61" s="196"/>
      <c r="BO61" s="196"/>
      <c r="BP61" s="196"/>
      <c r="BQ61" s="196"/>
      <c r="BR61" s="196"/>
      <c r="BS61" s="196"/>
      <c r="BT61" s="196"/>
      <c r="BU61" s="196"/>
      <c r="BV61" s="196"/>
      <c r="BW61" s="196"/>
      <c r="BX61" s="196"/>
      <c r="BY61" s="196"/>
      <c r="BZ61" s="196"/>
      <c r="CA61" s="196"/>
      <c r="CB61" s="196"/>
      <c r="CC61" s="196"/>
      <c r="CD61" s="196"/>
      <c r="CE61" s="196"/>
      <c r="CF61" s="196"/>
      <c r="CG61" s="196"/>
      <c r="CH61" s="196"/>
      <c r="CI61" s="196"/>
      <c r="CJ61" s="196"/>
      <c r="CK61" s="196"/>
      <c r="CL61" s="196"/>
      <c r="CM61" s="196"/>
      <c r="CN61" s="196"/>
      <c r="CO61" s="196"/>
      <c r="CP61" s="196"/>
      <c r="CQ61" s="196"/>
      <c r="CR61" s="196"/>
      <c r="CS61" s="196"/>
      <c r="CT61" s="196"/>
      <c r="CU61" s="196"/>
      <c r="CV61" s="196"/>
      <c r="CW61" s="196"/>
      <c r="CX61" s="196"/>
      <c r="CY61" s="196"/>
      <c r="CZ61" s="196"/>
      <c r="DA61" s="196"/>
      <c r="DB61" s="196"/>
      <c r="DC61" s="196"/>
      <c r="DD61" s="196"/>
      <c r="DE61" s="196"/>
    </row>
    <row r="62" spans="1:110" ht="15" customHeight="1" x14ac:dyDescent="0.25">
      <c r="A62" s="65"/>
      <c r="B62" s="65"/>
      <c r="C62" s="65"/>
      <c r="D62" s="65"/>
      <c r="E62" s="65"/>
      <c r="F62" s="65"/>
      <c r="G62" s="65"/>
      <c r="H62" s="65"/>
      <c r="I62" s="65"/>
      <c r="J62" s="65"/>
      <c r="K62" s="65"/>
      <c r="L62" s="65"/>
      <c r="M62" s="65"/>
      <c r="N62" s="65"/>
      <c r="AW62" s="196"/>
      <c r="AX62" s="196"/>
      <c r="AY62" s="196"/>
      <c r="AZ62" s="196"/>
      <c r="BA62" s="196"/>
      <c r="BB62" s="196"/>
      <c r="BC62" s="196"/>
      <c r="BD62" s="196"/>
      <c r="BE62" s="196"/>
      <c r="BF62" s="196"/>
      <c r="BG62" s="196"/>
      <c r="BH62" s="196"/>
      <c r="BI62" s="196"/>
      <c r="BJ62" s="196"/>
      <c r="BK62" s="196"/>
      <c r="BL62" s="196"/>
      <c r="BM62" s="196"/>
      <c r="BN62" s="196"/>
      <c r="BO62" s="196"/>
      <c r="BP62" s="196"/>
      <c r="BQ62" s="196"/>
      <c r="BR62" s="196"/>
      <c r="BS62" s="196"/>
      <c r="BT62" s="196"/>
      <c r="BU62" s="196"/>
      <c r="BV62" s="196"/>
      <c r="BW62" s="196"/>
      <c r="BX62" s="196"/>
      <c r="BY62" s="196"/>
      <c r="BZ62" s="196"/>
      <c r="CA62" s="196"/>
      <c r="CB62" s="196"/>
      <c r="CC62" s="196"/>
      <c r="CD62" s="196"/>
      <c r="CE62" s="196"/>
      <c r="CF62" s="196"/>
      <c r="CG62" s="196"/>
      <c r="CH62" s="196"/>
      <c r="CI62" s="196"/>
      <c r="CJ62" s="196"/>
      <c r="CK62" s="196"/>
      <c r="CL62" s="196"/>
      <c r="CM62" s="196"/>
      <c r="CN62" s="196"/>
      <c r="CO62" s="196"/>
      <c r="CP62" s="196"/>
      <c r="CQ62" s="196"/>
      <c r="CR62" s="196"/>
      <c r="CS62" s="196"/>
      <c r="CT62" s="196"/>
      <c r="CU62" s="196"/>
      <c r="CV62" s="196"/>
      <c r="CW62" s="196"/>
      <c r="CX62" s="196"/>
      <c r="CY62" s="196"/>
      <c r="CZ62" s="196"/>
      <c r="DA62" s="196"/>
      <c r="DB62" s="196"/>
      <c r="DC62" s="196"/>
      <c r="DD62" s="196"/>
      <c r="DE62" s="196"/>
    </row>
    <row r="63" spans="1:110" ht="15" customHeight="1" x14ac:dyDescent="0.25">
      <c r="A63" s="65"/>
      <c r="B63" s="65"/>
      <c r="C63" s="65"/>
      <c r="D63" s="65"/>
      <c r="E63" s="65"/>
      <c r="F63" s="65"/>
      <c r="G63" s="65"/>
      <c r="H63" s="65"/>
      <c r="I63" s="65"/>
      <c r="J63" s="65"/>
      <c r="K63" s="65"/>
      <c r="L63" s="65"/>
      <c r="M63" s="65"/>
      <c r="N63" s="65"/>
      <c r="AW63" s="196"/>
      <c r="AX63" s="196"/>
      <c r="AY63" s="196"/>
      <c r="AZ63" s="196"/>
      <c r="BA63" s="196"/>
      <c r="BB63" s="196"/>
      <c r="BC63" s="196"/>
      <c r="BD63" s="196"/>
      <c r="BE63" s="196"/>
      <c r="BF63" s="196"/>
      <c r="BG63" s="196"/>
      <c r="BH63" s="196"/>
      <c r="BI63" s="196"/>
      <c r="BJ63" s="196"/>
      <c r="BK63" s="196"/>
      <c r="BL63" s="196"/>
      <c r="BM63" s="196"/>
      <c r="BN63" s="196"/>
      <c r="BO63" s="196"/>
      <c r="BP63" s="196"/>
      <c r="BQ63" s="196"/>
      <c r="BR63" s="196"/>
      <c r="BS63" s="196"/>
      <c r="BT63" s="196"/>
      <c r="BU63" s="196"/>
      <c r="BV63" s="196"/>
      <c r="BW63" s="196"/>
      <c r="BX63" s="196"/>
      <c r="BY63" s="196"/>
      <c r="BZ63" s="196"/>
      <c r="CA63" s="196"/>
      <c r="CB63" s="196"/>
      <c r="CC63" s="196"/>
      <c r="CD63" s="196"/>
      <c r="CE63" s="196"/>
      <c r="CF63" s="196"/>
      <c r="CG63" s="196"/>
      <c r="CH63" s="196"/>
      <c r="CI63" s="196"/>
      <c r="CJ63" s="196"/>
      <c r="CK63" s="196"/>
      <c r="CL63" s="196"/>
      <c r="CM63" s="196"/>
      <c r="CN63" s="196"/>
      <c r="CO63" s="196"/>
      <c r="CP63" s="196"/>
      <c r="CQ63" s="196"/>
      <c r="CR63" s="196"/>
      <c r="CS63" s="196"/>
      <c r="CT63" s="196"/>
      <c r="CU63" s="196"/>
      <c r="CV63" s="196"/>
      <c r="CW63" s="196"/>
      <c r="CX63" s="196"/>
      <c r="CY63" s="196"/>
      <c r="CZ63" s="196"/>
      <c r="DA63" s="196"/>
      <c r="DB63" s="196"/>
      <c r="DC63" s="196"/>
      <c r="DD63" s="196"/>
      <c r="DE63" s="196"/>
    </row>
    <row r="64" spans="1:110" ht="15" customHeight="1" x14ac:dyDescent="0.25">
      <c r="A64" s="65"/>
      <c r="B64" s="65"/>
      <c r="C64" s="65"/>
      <c r="D64" s="65"/>
      <c r="E64" s="65"/>
      <c r="F64" s="65"/>
      <c r="G64" s="65"/>
      <c r="H64" s="65"/>
      <c r="I64" s="65"/>
      <c r="J64" s="65"/>
      <c r="K64" s="65"/>
      <c r="L64" s="65"/>
      <c r="M64" s="65"/>
      <c r="N64" s="65"/>
      <c r="AW64" s="196"/>
      <c r="AX64" s="196"/>
      <c r="AY64" s="196"/>
      <c r="AZ64" s="196"/>
      <c r="BA64" s="196"/>
      <c r="BB64" s="196"/>
      <c r="BC64" s="196"/>
      <c r="BD64" s="196"/>
      <c r="BE64" s="196"/>
      <c r="BF64" s="196"/>
      <c r="BG64" s="196"/>
      <c r="BH64" s="196"/>
      <c r="BI64" s="196"/>
      <c r="BJ64" s="196"/>
      <c r="BK64" s="196"/>
      <c r="BL64" s="196"/>
      <c r="BM64" s="196"/>
      <c r="BN64" s="196"/>
      <c r="BO64" s="196"/>
      <c r="BP64" s="196"/>
      <c r="BQ64" s="196"/>
      <c r="BR64" s="196"/>
      <c r="BS64" s="196"/>
      <c r="BT64" s="196"/>
      <c r="BU64" s="196"/>
      <c r="BV64" s="196"/>
      <c r="BW64" s="196"/>
      <c r="BX64" s="196"/>
      <c r="BY64" s="196"/>
      <c r="BZ64" s="196"/>
      <c r="CA64" s="196"/>
      <c r="CB64" s="196"/>
      <c r="CC64" s="196"/>
      <c r="CD64" s="196"/>
      <c r="CE64" s="196"/>
      <c r="CF64" s="196"/>
      <c r="CG64" s="196"/>
      <c r="CH64" s="196"/>
      <c r="CI64" s="196"/>
      <c r="CJ64" s="196"/>
      <c r="CK64" s="196"/>
      <c r="CL64" s="196"/>
      <c r="CM64" s="196"/>
      <c r="CN64" s="196"/>
      <c r="CO64" s="196"/>
      <c r="CP64" s="196"/>
      <c r="CQ64" s="196"/>
      <c r="CR64" s="196"/>
      <c r="CS64" s="196"/>
      <c r="CT64" s="196"/>
      <c r="CU64" s="196"/>
      <c r="CV64" s="196"/>
      <c r="CW64" s="196"/>
      <c r="CX64" s="196"/>
      <c r="CY64" s="196"/>
      <c r="CZ64" s="196"/>
      <c r="DA64" s="196"/>
      <c r="DB64" s="196"/>
      <c r="DC64" s="196"/>
      <c r="DD64" s="196"/>
      <c r="DE64" s="196"/>
    </row>
    <row r="65" spans="1:14" ht="15" customHeight="1" x14ac:dyDescent="0.25">
      <c r="A65" s="65"/>
      <c r="B65" s="65"/>
      <c r="C65" s="65"/>
      <c r="D65" s="65"/>
      <c r="E65" s="65"/>
      <c r="F65" s="65"/>
      <c r="G65" s="65"/>
      <c r="H65" s="65"/>
      <c r="I65" s="65"/>
      <c r="J65" s="65"/>
      <c r="K65" s="65"/>
      <c r="L65" s="65"/>
      <c r="M65" s="65"/>
      <c r="N65" s="65"/>
    </row>
    <row r="66" spans="1:14" x14ac:dyDescent="0.25">
      <c r="A66" s="65"/>
      <c r="B66" s="65"/>
      <c r="C66" s="65"/>
      <c r="D66" s="65"/>
      <c r="E66" s="65"/>
      <c r="F66" s="65"/>
      <c r="G66" s="65"/>
      <c r="H66" s="65"/>
      <c r="I66" s="65"/>
      <c r="J66" s="65"/>
      <c r="K66" s="65"/>
      <c r="L66" s="65"/>
      <c r="M66" s="65"/>
      <c r="N66" s="65"/>
    </row>
    <row r="67" spans="1:14" x14ac:dyDescent="0.25">
      <c r="A67" s="65"/>
      <c r="B67" s="65"/>
      <c r="C67" s="65"/>
      <c r="D67" s="65"/>
      <c r="E67" s="65"/>
      <c r="F67" s="65"/>
      <c r="G67" s="65"/>
      <c r="H67" s="65"/>
      <c r="I67" s="65"/>
      <c r="J67" s="65"/>
      <c r="K67" s="65"/>
      <c r="L67" s="65"/>
      <c r="M67" s="65"/>
      <c r="N67" s="65"/>
    </row>
    <row r="68" spans="1:14" x14ac:dyDescent="0.25">
      <c r="A68" s="65"/>
      <c r="B68" s="65"/>
      <c r="C68" s="65"/>
      <c r="D68" s="65"/>
      <c r="E68" s="65"/>
      <c r="F68" s="65"/>
      <c r="G68" s="65"/>
      <c r="H68" s="65"/>
      <c r="I68" s="65"/>
      <c r="J68" s="65"/>
      <c r="K68" s="65"/>
      <c r="L68" s="65"/>
      <c r="M68" s="65"/>
      <c r="N68" s="65"/>
    </row>
    <row r="69" spans="1:14" x14ac:dyDescent="0.25">
      <c r="A69" s="65"/>
      <c r="B69" s="65"/>
      <c r="C69" s="65"/>
      <c r="D69" s="65"/>
      <c r="E69" s="65"/>
      <c r="F69" s="65"/>
      <c r="G69" s="65"/>
      <c r="H69" s="65"/>
      <c r="I69" s="65"/>
      <c r="J69" s="65"/>
      <c r="K69" s="65"/>
      <c r="L69" s="65"/>
      <c r="M69" s="65"/>
      <c r="N69" s="65"/>
    </row>
    <row r="70" spans="1:14" x14ac:dyDescent="0.25">
      <c r="A70" s="65"/>
      <c r="B70" s="65"/>
      <c r="C70" s="65"/>
      <c r="D70" s="65"/>
      <c r="E70" s="65"/>
      <c r="F70" s="65"/>
      <c r="G70" s="65"/>
      <c r="H70" s="65"/>
      <c r="I70" s="65"/>
      <c r="J70" s="65"/>
      <c r="K70" s="65"/>
      <c r="L70" s="65"/>
      <c r="M70" s="65"/>
      <c r="N70" s="65"/>
    </row>
    <row r="71" spans="1:14" x14ac:dyDescent="0.25">
      <c r="A71" s="65"/>
      <c r="B71" s="65"/>
      <c r="C71" s="65"/>
      <c r="D71" s="65"/>
      <c r="E71" s="65"/>
      <c r="F71" s="65"/>
      <c r="G71" s="65"/>
      <c r="H71" s="65"/>
      <c r="I71" s="65"/>
      <c r="J71" s="65"/>
      <c r="K71" s="65"/>
      <c r="L71" s="65"/>
      <c r="M71" s="65"/>
      <c r="N71" s="65"/>
    </row>
    <row r="72" spans="1:14" x14ac:dyDescent="0.25">
      <c r="A72" s="65"/>
      <c r="B72" s="65"/>
      <c r="C72" s="65"/>
      <c r="D72" s="65"/>
      <c r="E72" s="65"/>
      <c r="F72" s="65"/>
      <c r="G72" s="65"/>
      <c r="H72" s="65"/>
      <c r="I72" s="65"/>
      <c r="J72" s="65"/>
      <c r="K72" s="65"/>
      <c r="L72" s="65"/>
      <c r="M72" s="65"/>
      <c r="N72" s="65"/>
    </row>
    <row r="73" spans="1:14" x14ac:dyDescent="0.25">
      <c r="A73" s="65"/>
      <c r="B73" s="65"/>
      <c r="C73" s="65"/>
      <c r="D73" s="65"/>
      <c r="E73" s="65"/>
      <c r="F73" s="65"/>
      <c r="G73" s="65"/>
      <c r="H73" s="65"/>
      <c r="I73" s="65"/>
      <c r="J73" s="65"/>
      <c r="K73" s="65"/>
      <c r="L73" s="65"/>
      <c r="M73" s="65"/>
      <c r="N73" s="65"/>
    </row>
    <row r="74" spans="1:14" x14ac:dyDescent="0.25">
      <c r="A74" s="65"/>
      <c r="B74" s="65"/>
      <c r="C74" s="65"/>
      <c r="D74" s="65"/>
      <c r="E74" s="65"/>
      <c r="F74" s="65"/>
      <c r="G74" s="65"/>
      <c r="H74" s="65"/>
      <c r="I74" s="65"/>
      <c r="J74" s="65"/>
      <c r="K74" s="65"/>
      <c r="L74" s="65"/>
      <c r="M74" s="65"/>
      <c r="N74" s="65"/>
    </row>
    <row r="75" spans="1:14" x14ac:dyDescent="0.25">
      <c r="A75" s="65"/>
      <c r="B75" s="65"/>
      <c r="C75" s="65"/>
      <c r="D75" s="65"/>
      <c r="E75" s="65"/>
      <c r="F75" s="65"/>
      <c r="G75" s="65"/>
      <c r="H75" s="65"/>
      <c r="I75" s="65"/>
      <c r="J75" s="65"/>
      <c r="K75" s="65"/>
      <c r="L75" s="65"/>
      <c r="M75" s="65"/>
      <c r="N75" s="65"/>
    </row>
    <row r="76" spans="1:14" x14ac:dyDescent="0.25">
      <c r="A76" s="65"/>
      <c r="B76" s="65"/>
      <c r="C76" s="65"/>
      <c r="D76" s="65"/>
      <c r="E76" s="65"/>
      <c r="F76" s="65"/>
      <c r="G76" s="65"/>
      <c r="H76" s="65"/>
      <c r="I76" s="65"/>
      <c r="J76" s="65"/>
      <c r="K76" s="65"/>
      <c r="L76" s="65"/>
      <c r="M76" s="65"/>
      <c r="N76" s="65"/>
    </row>
    <row r="77" spans="1:14" x14ac:dyDescent="0.25">
      <c r="A77" s="65"/>
      <c r="B77" s="65"/>
      <c r="C77" s="65"/>
      <c r="D77" s="65"/>
      <c r="E77" s="65"/>
      <c r="F77" s="65"/>
      <c r="G77" s="65"/>
      <c r="H77" s="65"/>
      <c r="I77" s="65"/>
      <c r="J77" s="65"/>
      <c r="K77" s="65"/>
      <c r="L77" s="65"/>
      <c r="M77" s="65"/>
      <c r="N77" s="65"/>
    </row>
    <row r="78" spans="1:14" x14ac:dyDescent="0.25">
      <c r="A78" s="65"/>
      <c r="B78" s="65"/>
      <c r="C78" s="65"/>
      <c r="D78" s="65"/>
      <c r="E78" s="65"/>
      <c r="F78" s="65"/>
      <c r="G78" s="65"/>
      <c r="H78" s="65"/>
      <c r="I78" s="65"/>
      <c r="J78" s="65"/>
      <c r="K78" s="65"/>
      <c r="L78" s="65"/>
      <c r="M78" s="65"/>
      <c r="N78" s="65"/>
    </row>
    <row r="79" spans="1:14" x14ac:dyDescent="0.25">
      <c r="A79" s="65"/>
      <c r="B79" s="65"/>
      <c r="C79" s="65"/>
      <c r="D79" s="65"/>
      <c r="E79" s="65"/>
      <c r="F79" s="65"/>
      <c r="G79" s="65"/>
      <c r="H79" s="65"/>
      <c r="I79" s="65"/>
      <c r="J79" s="65"/>
      <c r="K79" s="65"/>
      <c r="L79" s="65"/>
      <c r="M79" s="65"/>
      <c r="N79" s="65"/>
    </row>
    <row r="80" spans="1:14" x14ac:dyDescent="0.25">
      <c r="A80" s="65"/>
      <c r="B80" s="65"/>
      <c r="C80" s="65"/>
      <c r="D80" s="65"/>
      <c r="E80" s="65"/>
      <c r="F80" s="65"/>
      <c r="G80" s="65"/>
      <c r="H80" s="65"/>
      <c r="I80" s="65"/>
      <c r="J80" s="65"/>
      <c r="K80" s="65"/>
      <c r="L80" s="94"/>
      <c r="M80" s="65"/>
      <c r="N80" s="65"/>
    </row>
    <row r="81" spans="1:14" x14ac:dyDescent="0.25">
      <c r="A81" s="65"/>
      <c r="B81" s="65"/>
      <c r="C81" s="65"/>
      <c r="D81" s="65"/>
      <c r="E81" s="65"/>
      <c r="F81" s="65"/>
      <c r="G81" s="65"/>
      <c r="H81" s="65"/>
      <c r="I81" s="65"/>
      <c r="J81" s="65"/>
      <c r="K81" s="65"/>
      <c r="L81" s="65"/>
      <c r="M81" s="65"/>
      <c r="N81" s="65"/>
    </row>
    <row r="82" spans="1:14" x14ac:dyDescent="0.25">
      <c r="A82" s="65"/>
      <c r="B82" s="65"/>
      <c r="C82" s="65"/>
      <c r="D82" s="65"/>
      <c r="E82" s="65"/>
      <c r="F82" s="65"/>
      <c r="G82" s="65"/>
      <c r="H82" s="65"/>
      <c r="I82" s="65"/>
      <c r="J82" s="65"/>
      <c r="K82" s="65"/>
      <c r="L82" s="65"/>
      <c r="M82" s="65"/>
      <c r="N82" s="65"/>
    </row>
    <row r="83" spans="1:14" x14ac:dyDescent="0.25">
      <c r="A83" s="65"/>
      <c r="B83" s="65"/>
      <c r="C83" s="65"/>
      <c r="D83" s="65"/>
      <c r="E83" s="65"/>
      <c r="F83" s="65"/>
      <c r="G83" s="65"/>
      <c r="H83" s="65"/>
      <c r="I83" s="65"/>
      <c r="J83" s="65"/>
      <c r="K83" s="65"/>
      <c r="L83" s="65"/>
      <c r="M83" s="65"/>
      <c r="N83" s="65"/>
    </row>
    <row r="84" spans="1:14" x14ac:dyDescent="0.25">
      <c r="A84" s="65"/>
      <c r="B84" s="65"/>
      <c r="C84" s="65"/>
      <c r="D84" s="65"/>
      <c r="E84" s="65"/>
      <c r="F84" s="65"/>
      <c r="G84" s="65"/>
      <c r="H84" s="65"/>
      <c r="I84" s="65"/>
      <c r="J84" s="65"/>
      <c r="K84" s="65"/>
      <c r="L84" s="65"/>
      <c r="M84" s="65"/>
      <c r="N84" s="65"/>
    </row>
    <row r="85" spans="1:14" x14ac:dyDescent="0.25">
      <c r="A85" s="65"/>
      <c r="B85" s="65"/>
      <c r="C85" s="65"/>
      <c r="D85" s="65"/>
      <c r="E85" s="65"/>
      <c r="F85" s="65"/>
      <c r="G85" s="65"/>
      <c r="H85" s="65"/>
      <c r="I85" s="65"/>
      <c r="J85" s="65"/>
      <c r="K85" s="65"/>
      <c r="L85" s="65"/>
      <c r="M85" s="65"/>
      <c r="N85" s="65"/>
    </row>
    <row r="86" spans="1:14" x14ac:dyDescent="0.25">
      <c r="A86" s="65"/>
      <c r="B86" s="65"/>
      <c r="C86" s="65"/>
      <c r="D86" s="65"/>
      <c r="E86" s="65"/>
      <c r="F86" s="65"/>
      <c r="G86" s="65"/>
      <c r="H86" s="65"/>
      <c r="I86" s="65"/>
      <c r="J86" s="65"/>
      <c r="K86" s="65"/>
      <c r="L86" s="65"/>
      <c r="M86" s="65"/>
      <c r="N86" s="65"/>
    </row>
    <row r="87" spans="1:14" x14ac:dyDescent="0.25">
      <c r="A87" s="65"/>
      <c r="B87" s="65"/>
      <c r="C87" s="65"/>
      <c r="D87" s="65"/>
      <c r="E87" s="65"/>
      <c r="F87" s="65"/>
      <c r="G87" s="65"/>
      <c r="H87" s="65"/>
      <c r="I87" s="65"/>
      <c r="J87" s="65"/>
      <c r="K87" s="65"/>
      <c r="L87" s="65"/>
      <c r="M87" s="65"/>
      <c r="N87" s="65"/>
    </row>
    <row r="88" spans="1:14" x14ac:dyDescent="0.25">
      <c r="A88" s="65"/>
      <c r="B88" s="65"/>
      <c r="C88" s="65"/>
      <c r="D88" s="65"/>
      <c r="E88" s="65"/>
      <c r="F88" s="65"/>
      <c r="G88" s="65"/>
      <c r="H88" s="65"/>
      <c r="I88" s="65"/>
      <c r="J88" s="65"/>
      <c r="K88" s="65"/>
      <c r="L88" s="65"/>
      <c r="M88" s="65"/>
      <c r="N88" s="65"/>
    </row>
    <row r="89" spans="1:14" x14ac:dyDescent="0.25">
      <c r="A89" s="65"/>
      <c r="B89" s="65"/>
      <c r="C89" s="65"/>
      <c r="D89" s="65"/>
      <c r="E89" s="65"/>
      <c r="F89" s="65"/>
      <c r="G89" s="65"/>
      <c r="H89" s="65"/>
      <c r="I89" s="65"/>
      <c r="J89" s="65"/>
      <c r="K89" s="65"/>
      <c r="L89" s="65"/>
      <c r="M89" s="65"/>
      <c r="N89" s="65"/>
    </row>
    <row r="90" spans="1:14" x14ac:dyDescent="0.25">
      <c r="A90" s="65"/>
      <c r="B90" s="65"/>
      <c r="C90" s="65"/>
      <c r="D90" s="65"/>
      <c r="E90" s="65"/>
      <c r="F90" s="65"/>
      <c r="G90" s="65"/>
      <c r="H90" s="65"/>
      <c r="I90" s="65"/>
      <c r="J90" s="65"/>
      <c r="K90" s="65"/>
      <c r="L90" s="65"/>
      <c r="M90" s="65"/>
      <c r="N90" s="65"/>
    </row>
    <row r="91" spans="1:14" x14ac:dyDescent="0.25">
      <c r="A91" s="65"/>
      <c r="B91" s="65"/>
      <c r="C91" s="65"/>
      <c r="D91" s="65"/>
      <c r="E91" s="65"/>
      <c r="F91" s="65"/>
      <c r="G91" s="65"/>
      <c r="H91" s="65"/>
      <c r="I91" s="65"/>
      <c r="J91" s="65"/>
      <c r="K91" s="65"/>
      <c r="L91" s="65"/>
      <c r="M91" s="65"/>
      <c r="N91" s="65"/>
    </row>
    <row r="92" spans="1:14" x14ac:dyDescent="0.25">
      <c r="A92" s="65"/>
      <c r="B92" s="65"/>
      <c r="C92" s="65"/>
      <c r="D92" s="65"/>
      <c r="E92" s="65"/>
      <c r="F92" s="65"/>
      <c r="G92" s="65"/>
      <c r="H92" s="65"/>
      <c r="I92" s="65"/>
      <c r="J92" s="65"/>
      <c r="K92" s="65"/>
      <c r="L92" s="65"/>
      <c r="M92" s="65"/>
      <c r="N92" s="65"/>
    </row>
    <row r="93" spans="1:14" x14ac:dyDescent="0.25">
      <c r="A93" s="65"/>
      <c r="B93" s="65"/>
      <c r="C93" s="65"/>
      <c r="D93" s="65"/>
      <c r="E93" s="65"/>
      <c r="F93" s="65"/>
      <c r="G93" s="65"/>
      <c r="H93" s="65"/>
      <c r="I93" s="65"/>
      <c r="J93" s="65"/>
      <c r="K93" s="65"/>
      <c r="L93" s="65"/>
      <c r="M93" s="65"/>
      <c r="N93" s="65"/>
    </row>
    <row r="94" spans="1:14" x14ac:dyDescent="0.25">
      <c r="A94" s="65"/>
      <c r="B94" s="65"/>
      <c r="C94" s="65"/>
      <c r="D94" s="65"/>
      <c r="E94" s="65"/>
      <c r="F94" s="65"/>
      <c r="G94" s="65"/>
      <c r="H94" s="65"/>
      <c r="I94" s="65"/>
      <c r="J94" s="65"/>
      <c r="K94" s="65"/>
      <c r="L94" s="65"/>
      <c r="M94" s="65"/>
      <c r="N94" s="65"/>
    </row>
    <row r="95" spans="1:14" x14ac:dyDescent="0.25">
      <c r="A95" s="65"/>
      <c r="B95" s="65"/>
      <c r="C95" s="65"/>
      <c r="D95" s="65"/>
      <c r="E95" s="65"/>
      <c r="F95" s="65"/>
      <c r="G95" s="65"/>
      <c r="H95" s="65"/>
      <c r="I95" s="65"/>
      <c r="J95" s="65"/>
      <c r="K95" s="65"/>
      <c r="L95" s="65"/>
      <c r="M95" s="65"/>
      <c r="N95" s="65"/>
    </row>
    <row r="96" spans="1:14" x14ac:dyDescent="0.25">
      <c r="A96" s="65"/>
      <c r="B96" s="65"/>
      <c r="C96" s="65"/>
      <c r="D96" s="65"/>
      <c r="E96" s="65"/>
      <c r="F96" s="65"/>
      <c r="G96" s="65"/>
      <c r="H96" s="65"/>
      <c r="I96" s="65"/>
      <c r="J96" s="65"/>
      <c r="K96" s="65"/>
      <c r="L96" s="65"/>
      <c r="M96" s="65"/>
      <c r="N96" s="65"/>
    </row>
    <row r="97" spans="1:14" x14ac:dyDescent="0.25">
      <c r="A97" s="65"/>
      <c r="B97" s="65"/>
      <c r="C97" s="65"/>
      <c r="D97" s="65"/>
      <c r="E97" s="65"/>
      <c r="F97" s="65"/>
      <c r="G97" s="65"/>
      <c r="H97" s="65"/>
      <c r="I97" s="65"/>
      <c r="J97" s="65"/>
      <c r="K97" s="65"/>
      <c r="L97" s="65"/>
      <c r="M97" s="65"/>
      <c r="N97" s="65"/>
    </row>
    <row r="98" spans="1:14" x14ac:dyDescent="0.25">
      <c r="A98" s="65"/>
      <c r="B98" s="65"/>
      <c r="C98" s="65"/>
      <c r="D98" s="65"/>
      <c r="E98" s="65"/>
      <c r="F98" s="65"/>
      <c r="G98" s="65"/>
      <c r="H98" s="65"/>
      <c r="I98" s="65"/>
      <c r="J98" s="65"/>
      <c r="K98" s="65"/>
      <c r="L98" s="65"/>
      <c r="M98" s="65"/>
      <c r="N98" s="65"/>
    </row>
    <row r="99" spans="1:14" x14ac:dyDescent="0.25">
      <c r="A99" s="65"/>
      <c r="B99" s="65"/>
      <c r="C99" s="65"/>
      <c r="D99" s="65"/>
      <c r="E99" s="65"/>
      <c r="F99" s="65"/>
      <c r="G99" s="65"/>
      <c r="H99" s="65"/>
      <c r="I99" s="65"/>
      <c r="J99" s="65"/>
      <c r="K99" s="65"/>
      <c r="L99" s="65"/>
      <c r="M99" s="65"/>
      <c r="N99" s="65"/>
    </row>
    <row r="100" spans="1:14" x14ac:dyDescent="0.25">
      <c r="A100" s="65"/>
      <c r="B100" s="65"/>
      <c r="C100" s="65"/>
      <c r="D100" s="65"/>
      <c r="E100" s="65"/>
      <c r="F100" s="65"/>
      <c r="G100" s="65"/>
      <c r="H100" s="65"/>
      <c r="I100" s="65"/>
      <c r="J100" s="65"/>
      <c r="K100" s="65"/>
      <c r="L100" s="65"/>
      <c r="M100" s="65"/>
      <c r="N100" s="65"/>
    </row>
    <row r="101" spans="1:14" x14ac:dyDescent="0.25">
      <c r="A101" s="65"/>
      <c r="B101" s="65"/>
      <c r="C101" s="65"/>
      <c r="D101" s="65"/>
      <c r="E101" s="65"/>
      <c r="F101" s="65"/>
      <c r="G101" s="65"/>
      <c r="H101" s="65"/>
      <c r="I101" s="65"/>
      <c r="J101" s="65"/>
      <c r="K101" s="65"/>
      <c r="L101" s="65"/>
      <c r="M101" s="65"/>
      <c r="N101" s="65"/>
    </row>
    <row r="102" spans="1:14" x14ac:dyDescent="0.25">
      <c r="A102" s="65"/>
      <c r="B102" s="65"/>
      <c r="C102" s="65"/>
      <c r="D102" s="65"/>
      <c r="E102" s="65"/>
      <c r="F102" s="65"/>
      <c r="G102" s="65"/>
      <c r="H102" s="65"/>
      <c r="I102" s="65"/>
      <c r="J102" s="65"/>
      <c r="K102" s="65"/>
      <c r="L102" s="94"/>
      <c r="M102" s="65"/>
      <c r="N102" s="65"/>
    </row>
    <row r="103" spans="1:14" x14ac:dyDescent="0.25">
      <c r="A103" s="65"/>
      <c r="B103" s="65"/>
      <c r="C103" s="65"/>
      <c r="D103" s="65"/>
      <c r="E103" s="65"/>
      <c r="F103" s="65"/>
      <c r="G103" s="65"/>
      <c r="H103" s="65"/>
      <c r="I103" s="65"/>
      <c r="J103" s="65"/>
      <c r="K103" s="65"/>
      <c r="L103" s="65"/>
      <c r="M103" s="65"/>
      <c r="N103" s="65"/>
    </row>
    <row r="104" spans="1:14" x14ac:dyDescent="0.25">
      <c r="A104" s="65"/>
      <c r="B104" s="65"/>
      <c r="C104" s="65"/>
      <c r="D104" s="65"/>
      <c r="E104" s="65"/>
      <c r="F104" s="65"/>
      <c r="G104" s="65"/>
      <c r="H104" s="65"/>
      <c r="I104" s="65"/>
      <c r="J104" s="65"/>
      <c r="K104" s="65"/>
      <c r="L104" s="65"/>
      <c r="M104" s="65"/>
      <c r="N104" s="65"/>
    </row>
    <row r="105" spans="1:14" x14ac:dyDescent="0.25">
      <c r="A105" s="65"/>
      <c r="B105" s="65"/>
      <c r="C105" s="65"/>
      <c r="D105" s="65"/>
      <c r="E105" s="65"/>
      <c r="F105" s="65"/>
      <c r="G105" s="65"/>
      <c r="H105" s="65"/>
      <c r="I105" s="65"/>
      <c r="J105" s="65"/>
      <c r="K105" s="65"/>
      <c r="L105" s="65"/>
      <c r="M105" s="65"/>
      <c r="N105" s="65"/>
    </row>
    <row r="106" spans="1:14" x14ac:dyDescent="0.25">
      <c r="A106" s="65"/>
      <c r="B106" s="65"/>
      <c r="C106" s="65"/>
      <c r="D106" s="65"/>
      <c r="E106" s="65"/>
      <c r="F106" s="65"/>
      <c r="G106" s="65"/>
      <c r="H106" s="65"/>
      <c r="I106" s="65"/>
      <c r="J106" s="65"/>
      <c r="K106" s="65"/>
      <c r="L106" s="65"/>
      <c r="M106" s="65"/>
      <c r="N106" s="65"/>
    </row>
    <row r="107" spans="1:14" x14ac:dyDescent="0.25">
      <c r="A107" s="65"/>
      <c r="B107" s="65"/>
      <c r="C107" s="65"/>
      <c r="D107" s="65"/>
      <c r="E107" s="65"/>
      <c r="F107" s="65"/>
      <c r="G107" s="65"/>
      <c r="H107" s="65"/>
      <c r="I107" s="65"/>
      <c r="J107" s="65"/>
      <c r="K107" s="65"/>
      <c r="L107" s="65"/>
      <c r="M107" s="65"/>
      <c r="N107" s="65"/>
    </row>
    <row r="108" spans="1:14" x14ac:dyDescent="0.25">
      <c r="A108" s="65"/>
      <c r="B108" s="65"/>
      <c r="C108" s="65"/>
      <c r="D108" s="65"/>
      <c r="E108" s="65"/>
      <c r="F108" s="65"/>
      <c r="G108" s="65"/>
      <c r="H108" s="65"/>
      <c r="I108" s="65"/>
      <c r="J108" s="65"/>
      <c r="K108" s="65"/>
      <c r="L108" s="65"/>
      <c r="M108" s="65"/>
      <c r="N108" s="65"/>
    </row>
    <row r="109" spans="1:14" x14ac:dyDescent="0.25">
      <c r="A109" s="65"/>
      <c r="B109" s="65"/>
      <c r="C109" s="65"/>
      <c r="D109" s="65"/>
      <c r="E109" s="65"/>
      <c r="F109" s="65"/>
      <c r="G109" s="65"/>
      <c r="H109" s="65"/>
      <c r="I109" s="65"/>
      <c r="J109" s="65"/>
      <c r="K109" s="65"/>
      <c r="L109" s="65"/>
      <c r="M109" s="65"/>
      <c r="N109" s="65"/>
    </row>
    <row r="110" spans="1:14" x14ac:dyDescent="0.25">
      <c r="A110" s="65"/>
      <c r="B110" s="65"/>
      <c r="C110" s="65"/>
      <c r="D110" s="65"/>
      <c r="E110" s="65"/>
      <c r="F110" s="65"/>
      <c r="G110" s="65"/>
      <c r="H110" s="65"/>
      <c r="I110" s="65"/>
      <c r="J110" s="65"/>
      <c r="K110" s="65"/>
      <c r="L110" s="65"/>
      <c r="M110" s="65"/>
      <c r="N110" s="65"/>
    </row>
    <row r="111" spans="1:14" x14ac:dyDescent="0.25">
      <c r="A111" s="65"/>
      <c r="B111" s="65"/>
      <c r="C111" s="65"/>
      <c r="D111" s="65"/>
      <c r="E111" s="65"/>
      <c r="F111" s="65"/>
      <c r="G111" s="65"/>
      <c r="H111" s="65"/>
      <c r="I111" s="65"/>
      <c r="J111" s="65"/>
      <c r="K111" s="65"/>
      <c r="L111" s="65"/>
      <c r="M111" s="65"/>
      <c r="N111" s="65"/>
    </row>
    <row r="112" spans="1:14" x14ac:dyDescent="0.25">
      <c r="A112" s="65"/>
      <c r="B112" s="65"/>
      <c r="C112" s="65"/>
      <c r="D112" s="65"/>
      <c r="E112" s="65"/>
      <c r="F112" s="65"/>
      <c r="G112" s="65"/>
      <c r="H112" s="65"/>
      <c r="I112" s="65"/>
      <c r="J112" s="65"/>
      <c r="K112" s="65"/>
      <c r="L112" s="65"/>
      <c r="M112" s="65"/>
      <c r="N112" s="65"/>
    </row>
    <row r="113" spans="1:14" x14ac:dyDescent="0.25">
      <c r="A113" s="65"/>
      <c r="B113" s="65"/>
      <c r="C113" s="65"/>
      <c r="D113" s="65"/>
      <c r="E113" s="65"/>
      <c r="F113" s="65"/>
      <c r="G113" s="65"/>
      <c r="H113" s="65"/>
      <c r="I113" s="65"/>
      <c r="J113" s="65"/>
      <c r="K113" s="65"/>
      <c r="L113" s="65"/>
      <c r="M113" s="65"/>
      <c r="N113" s="65"/>
    </row>
    <row r="114" spans="1:14" x14ac:dyDescent="0.25">
      <c r="A114" s="65"/>
      <c r="B114" s="65"/>
      <c r="C114" s="65"/>
      <c r="D114" s="65"/>
      <c r="E114" s="65"/>
      <c r="F114" s="65"/>
      <c r="G114" s="65"/>
      <c r="H114" s="65"/>
      <c r="I114" s="65"/>
      <c r="J114" s="65"/>
      <c r="K114" s="65"/>
      <c r="L114" s="65"/>
      <c r="M114" s="65"/>
      <c r="N114" s="65"/>
    </row>
    <row r="115" spans="1:14" x14ac:dyDescent="0.25">
      <c r="A115" s="65"/>
      <c r="B115" s="65"/>
      <c r="C115" s="65"/>
      <c r="D115" s="65"/>
      <c r="E115" s="65"/>
      <c r="F115" s="65"/>
      <c r="G115" s="65"/>
      <c r="H115" s="65"/>
      <c r="I115" s="65"/>
      <c r="J115" s="65"/>
      <c r="K115" s="65"/>
      <c r="L115" s="65"/>
      <c r="M115" s="65"/>
      <c r="N115" s="65"/>
    </row>
    <row r="116" spans="1:14" x14ac:dyDescent="0.25">
      <c r="A116" s="65"/>
      <c r="B116" s="65"/>
      <c r="C116" s="65"/>
      <c r="D116" s="65"/>
      <c r="E116" s="65"/>
      <c r="F116" s="65"/>
      <c r="G116" s="65"/>
      <c r="H116" s="65"/>
      <c r="I116" s="65"/>
      <c r="J116" s="65"/>
      <c r="K116" s="65"/>
      <c r="L116" s="65"/>
      <c r="M116" s="65"/>
      <c r="N116" s="65"/>
    </row>
    <row r="117" spans="1:14" x14ac:dyDescent="0.25">
      <c r="A117" s="65"/>
      <c r="B117" s="65"/>
      <c r="C117" s="65"/>
      <c r="D117" s="65"/>
      <c r="E117" s="65"/>
      <c r="F117" s="65"/>
      <c r="G117" s="65"/>
      <c r="H117" s="65"/>
      <c r="I117" s="65"/>
      <c r="J117" s="65"/>
      <c r="K117" s="65"/>
      <c r="L117" s="65"/>
      <c r="M117" s="65"/>
      <c r="N117" s="65"/>
    </row>
    <row r="118" spans="1:14" x14ac:dyDescent="0.25">
      <c r="A118" s="65"/>
      <c r="B118" s="65"/>
      <c r="C118" s="65"/>
      <c r="D118" s="65"/>
      <c r="E118" s="65"/>
      <c r="F118" s="65"/>
      <c r="G118" s="65"/>
      <c r="H118" s="65"/>
      <c r="I118" s="65"/>
      <c r="J118" s="65"/>
      <c r="K118" s="65"/>
      <c r="L118" s="65"/>
      <c r="M118" s="65"/>
      <c r="N118" s="65"/>
    </row>
    <row r="119" spans="1:14" x14ac:dyDescent="0.25">
      <c r="A119" s="65"/>
      <c r="B119" s="65"/>
      <c r="C119" s="65"/>
      <c r="D119" s="65"/>
      <c r="E119" s="65"/>
      <c r="F119" s="65"/>
      <c r="G119" s="65"/>
      <c r="H119" s="65"/>
      <c r="I119" s="65"/>
      <c r="J119" s="65"/>
      <c r="K119" s="65"/>
      <c r="L119" s="65"/>
      <c r="M119" s="65"/>
      <c r="N119" s="65"/>
    </row>
    <row r="120" spans="1:14" x14ac:dyDescent="0.25">
      <c r="A120" s="65"/>
      <c r="B120" s="65"/>
      <c r="C120" s="65"/>
      <c r="D120" s="65"/>
      <c r="E120" s="65"/>
      <c r="F120" s="65"/>
      <c r="G120" s="65"/>
      <c r="H120" s="65"/>
      <c r="I120" s="65"/>
      <c r="J120" s="65"/>
      <c r="K120" s="65"/>
      <c r="L120" s="65"/>
      <c r="M120" s="65"/>
      <c r="N120" s="65"/>
    </row>
    <row r="121" spans="1:14" x14ac:dyDescent="0.25">
      <c r="A121" s="65"/>
      <c r="B121" s="65"/>
      <c r="C121" s="65"/>
      <c r="D121" s="65"/>
      <c r="E121" s="65"/>
      <c r="F121" s="65"/>
      <c r="G121" s="65"/>
      <c r="H121" s="65"/>
      <c r="I121" s="65"/>
      <c r="J121" s="65"/>
      <c r="K121" s="65"/>
      <c r="L121" s="65"/>
      <c r="M121" s="65"/>
      <c r="N121" s="65"/>
    </row>
    <row r="122" spans="1:14" x14ac:dyDescent="0.25">
      <c r="A122" s="65"/>
      <c r="B122" s="65"/>
      <c r="C122" s="65"/>
      <c r="D122" s="65"/>
      <c r="E122" s="65"/>
      <c r="F122" s="65"/>
      <c r="G122" s="65"/>
      <c r="H122" s="65"/>
      <c r="I122" s="65"/>
      <c r="J122" s="65"/>
      <c r="K122" s="65"/>
      <c r="L122" s="65"/>
      <c r="M122" s="65"/>
      <c r="N122" s="65"/>
    </row>
    <row r="123" spans="1:14" x14ac:dyDescent="0.25">
      <c r="A123" s="65"/>
      <c r="B123" s="65"/>
      <c r="C123" s="65"/>
      <c r="D123" s="65"/>
      <c r="E123" s="65"/>
      <c r="F123" s="65"/>
      <c r="G123" s="65"/>
      <c r="H123" s="65"/>
      <c r="I123" s="65"/>
      <c r="J123" s="65"/>
      <c r="K123" s="65"/>
      <c r="L123" s="65"/>
      <c r="M123" s="65"/>
      <c r="N123" s="65"/>
    </row>
    <row r="124" spans="1:14" x14ac:dyDescent="0.25">
      <c r="A124" s="65"/>
      <c r="B124" s="65"/>
      <c r="C124" s="65"/>
      <c r="D124" s="65"/>
      <c r="E124" s="65"/>
      <c r="F124" s="65"/>
      <c r="G124" s="65"/>
      <c r="H124" s="65"/>
      <c r="I124" s="65"/>
      <c r="J124" s="65"/>
      <c r="K124" s="65"/>
      <c r="L124" s="65"/>
      <c r="M124" s="65"/>
      <c r="N124" s="65"/>
    </row>
    <row r="125" spans="1:14" x14ac:dyDescent="0.25">
      <c r="A125" s="65"/>
      <c r="B125" s="65"/>
      <c r="C125" s="65"/>
      <c r="D125" s="65"/>
      <c r="E125" s="65"/>
      <c r="F125" s="65"/>
      <c r="G125" s="65"/>
      <c r="H125" s="65"/>
      <c r="I125" s="65"/>
      <c r="J125" s="65"/>
      <c r="K125" s="65"/>
      <c r="L125" s="65"/>
      <c r="M125" s="65"/>
      <c r="N125" s="65"/>
    </row>
    <row r="126" spans="1:14" x14ac:dyDescent="0.25">
      <c r="A126" s="65"/>
      <c r="B126" s="65"/>
      <c r="C126" s="65"/>
      <c r="D126" s="65"/>
      <c r="E126" s="65"/>
      <c r="F126" s="65"/>
      <c r="G126" s="65"/>
      <c r="H126" s="65"/>
      <c r="I126" s="65"/>
      <c r="J126" s="65"/>
      <c r="K126" s="65"/>
      <c r="L126" s="65"/>
      <c r="M126" s="65"/>
      <c r="N126" s="65"/>
    </row>
    <row r="127" spans="1:14" x14ac:dyDescent="0.25">
      <c r="A127" s="65"/>
      <c r="B127" s="65"/>
      <c r="C127" s="65"/>
      <c r="D127" s="65"/>
      <c r="E127" s="65"/>
      <c r="F127" s="65"/>
      <c r="G127" s="65"/>
      <c r="H127" s="65"/>
      <c r="I127" s="65"/>
      <c r="J127" s="65"/>
      <c r="K127" s="65"/>
      <c r="L127" s="65"/>
      <c r="M127" s="65"/>
      <c r="N127" s="65"/>
    </row>
    <row r="128" spans="1:14" x14ac:dyDescent="0.25">
      <c r="A128" s="65"/>
      <c r="B128" s="65"/>
      <c r="C128" s="65"/>
      <c r="D128" s="65"/>
      <c r="E128" s="65"/>
      <c r="F128" s="65"/>
      <c r="G128" s="65"/>
      <c r="H128" s="65"/>
      <c r="I128" s="65"/>
      <c r="J128" s="65"/>
      <c r="K128" s="65"/>
      <c r="L128" s="65"/>
      <c r="M128" s="65"/>
      <c r="N128" s="65"/>
    </row>
    <row r="129" spans="1:29" x14ac:dyDescent="0.25">
      <c r="A129" s="65"/>
      <c r="B129" s="65"/>
      <c r="C129" s="65"/>
      <c r="D129" s="65"/>
      <c r="E129" s="65"/>
      <c r="F129" s="65"/>
      <c r="G129" s="65"/>
      <c r="H129" s="65"/>
      <c r="I129" s="65"/>
      <c r="J129" s="65"/>
      <c r="K129" s="65"/>
      <c r="L129" s="65"/>
      <c r="M129" s="65"/>
      <c r="N129" s="65"/>
    </row>
    <row r="130" spans="1:29" x14ac:dyDescent="0.25">
      <c r="A130" s="65"/>
      <c r="B130" s="65"/>
      <c r="C130" s="65"/>
      <c r="D130" s="65"/>
      <c r="E130" s="65"/>
      <c r="F130" s="65"/>
      <c r="G130" s="65"/>
      <c r="H130" s="65"/>
      <c r="I130" s="65"/>
      <c r="J130" s="65"/>
      <c r="K130" s="65"/>
      <c r="L130" s="65"/>
      <c r="M130" s="65"/>
      <c r="N130" s="65"/>
      <c r="AB130" s="2"/>
      <c r="AC130" s="2"/>
    </row>
    <row r="131" spans="1:29" x14ac:dyDescent="0.25">
      <c r="A131" s="65"/>
      <c r="B131" s="65"/>
      <c r="C131" s="65"/>
      <c r="D131" s="65"/>
      <c r="E131" s="65"/>
      <c r="F131" s="65"/>
      <c r="G131" s="65"/>
      <c r="H131" s="65"/>
      <c r="I131" s="65"/>
      <c r="J131" s="65"/>
      <c r="K131" s="65"/>
      <c r="L131" s="65"/>
      <c r="M131" s="65"/>
      <c r="N131" s="65"/>
      <c r="AB131" s="2"/>
      <c r="AC131" s="2"/>
    </row>
    <row r="132" spans="1:29" x14ac:dyDescent="0.25">
      <c r="A132" s="65"/>
      <c r="B132" s="65"/>
      <c r="C132" s="65"/>
      <c r="D132" s="65"/>
      <c r="E132" s="65"/>
      <c r="F132" s="65"/>
      <c r="G132" s="65"/>
      <c r="H132" s="65"/>
      <c r="I132" s="65"/>
      <c r="J132" s="65"/>
      <c r="K132" s="65"/>
      <c r="L132" s="65"/>
      <c r="M132" s="65"/>
      <c r="N132" s="65"/>
      <c r="AB132" s="2"/>
      <c r="AC132" s="2"/>
    </row>
    <row r="133" spans="1:29" x14ac:dyDescent="0.25">
      <c r="A133" s="65"/>
      <c r="B133" s="65"/>
      <c r="C133" s="65"/>
      <c r="D133" s="65"/>
      <c r="E133" s="65"/>
      <c r="F133" s="65"/>
      <c r="G133" s="65"/>
      <c r="H133" s="65"/>
      <c r="I133" s="65"/>
      <c r="J133" s="65"/>
      <c r="K133" s="65"/>
      <c r="L133" s="65"/>
      <c r="M133" s="65"/>
      <c r="N133" s="65"/>
      <c r="AB133" s="2"/>
      <c r="AC133" s="2"/>
    </row>
    <row r="134" spans="1:29" x14ac:dyDescent="0.25">
      <c r="A134" s="65"/>
      <c r="B134" s="65"/>
      <c r="C134" s="65"/>
      <c r="D134" s="65"/>
      <c r="E134" s="65"/>
      <c r="F134" s="65"/>
      <c r="G134" s="65"/>
      <c r="H134" s="65"/>
      <c r="I134" s="65"/>
      <c r="J134" s="65"/>
      <c r="K134" s="65"/>
      <c r="L134" s="65"/>
      <c r="M134" s="65"/>
      <c r="N134" s="65"/>
      <c r="AB134" s="3"/>
      <c r="AC134" s="3"/>
    </row>
    <row r="135" spans="1:29" x14ac:dyDescent="0.25">
      <c r="A135" s="65"/>
      <c r="B135" s="65"/>
      <c r="C135" s="65"/>
      <c r="D135" s="65"/>
      <c r="E135" s="65"/>
      <c r="F135" s="65"/>
      <c r="G135" s="65"/>
      <c r="H135" s="65"/>
      <c r="I135" s="65"/>
      <c r="J135" s="65"/>
      <c r="K135" s="65"/>
      <c r="L135" s="65"/>
      <c r="M135" s="65"/>
      <c r="N135" s="65"/>
    </row>
    <row r="136" spans="1:29" x14ac:dyDescent="0.25">
      <c r="A136" s="65"/>
      <c r="B136" s="65"/>
      <c r="C136" s="65"/>
      <c r="D136" s="65"/>
      <c r="E136" s="65"/>
      <c r="F136" s="65"/>
      <c r="G136" s="65"/>
      <c r="H136" s="65"/>
      <c r="I136" s="65"/>
      <c r="J136" s="65"/>
      <c r="K136" s="65"/>
      <c r="L136" s="65"/>
      <c r="M136" s="65"/>
      <c r="N136" s="65"/>
    </row>
    <row r="137" spans="1:29" x14ac:dyDescent="0.25">
      <c r="A137" s="65"/>
      <c r="B137" s="65"/>
      <c r="C137" s="65"/>
      <c r="D137" s="65"/>
      <c r="E137" s="65"/>
      <c r="F137" s="65"/>
      <c r="G137" s="65"/>
      <c r="H137" s="65"/>
      <c r="I137" s="65"/>
      <c r="J137" s="65"/>
      <c r="K137" s="65"/>
      <c r="L137" s="65"/>
      <c r="M137" s="65"/>
      <c r="N137" s="65"/>
    </row>
    <row r="138" spans="1:29" x14ac:dyDescent="0.25">
      <c r="A138" s="65"/>
      <c r="B138" s="65"/>
      <c r="C138" s="65"/>
      <c r="D138" s="65"/>
      <c r="E138" s="65"/>
      <c r="F138" s="65"/>
      <c r="G138" s="65"/>
      <c r="H138" s="65"/>
      <c r="I138" s="65"/>
      <c r="J138" s="65"/>
      <c r="K138" s="65"/>
      <c r="L138" s="65"/>
      <c r="M138" s="65"/>
      <c r="N138" s="65"/>
    </row>
    <row r="139" spans="1:29" x14ac:dyDescent="0.25">
      <c r="A139" s="65"/>
      <c r="B139" s="65"/>
      <c r="C139" s="65"/>
      <c r="D139" s="65"/>
      <c r="E139" s="65"/>
      <c r="F139" s="65"/>
      <c r="G139" s="65"/>
      <c r="H139" s="65"/>
      <c r="I139" s="65"/>
      <c r="J139" s="65"/>
      <c r="K139" s="65"/>
      <c r="L139" s="65"/>
      <c r="M139" s="65"/>
      <c r="N139" s="65"/>
    </row>
    <row r="140" spans="1:29" x14ac:dyDescent="0.25">
      <c r="A140" s="65"/>
      <c r="B140" s="65"/>
      <c r="C140" s="65"/>
      <c r="D140" s="65"/>
      <c r="E140" s="65"/>
      <c r="F140" s="65"/>
      <c r="G140" s="65"/>
      <c r="H140" s="65"/>
      <c r="I140" s="65"/>
      <c r="J140" s="65"/>
      <c r="K140" s="65"/>
      <c r="L140" s="65"/>
      <c r="M140" s="65"/>
      <c r="N140" s="65"/>
    </row>
    <row r="141" spans="1:29" x14ac:dyDescent="0.25">
      <c r="A141" s="65"/>
      <c r="B141" s="65"/>
      <c r="C141" s="65"/>
      <c r="D141" s="65"/>
      <c r="E141" s="65"/>
      <c r="F141" s="65"/>
      <c r="G141" s="65"/>
      <c r="H141" s="65"/>
      <c r="I141" s="65"/>
      <c r="J141" s="65"/>
      <c r="K141" s="65"/>
      <c r="L141" s="65"/>
      <c r="M141" s="65"/>
      <c r="N141" s="65"/>
    </row>
    <row r="142" spans="1:29" x14ac:dyDescent="0.25">
      <c r="A142" s="65"/>
      <c r="B142" s="65"/>
      <c r="C142" s="65"/>
      <c r="D142" s="65"/>
      <c r="E142" s="65"/>
      <c r="F142" s="65"/>
      <c r="G142" s="65"/>
      <c r="H142" s="65"/>
      <c r="I142" s="65"/>
      <c r="J142" s="65"/>
      <c r="K142" s="65"/>
      <c r="L142" s="65"/>
      <c r="M142" s="65"/>
      <c r="N142" s="65"/>
    </row>
    <row r="143" spans="1:29" x14ac:dyDescent="0.25">
      <c r="A143" s="65"/>
      <c r="B143" s="65"/>
      <c r="C143" s="65"/>
      <c r="D143" s="65"/>
      <c r="E143" s="65"/>
      <c r="F143" s="65"/>
      <c r="G143" s="65"/>
      <c r="H143" s="65"/>
      <c r="I143" s="65"/>
      <c r="J143" s="65"/>
      <c r="K143" s="65"/>
      <c r="L143" s="65"/>
      <c r="M143" s="65"/>
      <c r="N143" s="65"/>
    </row>
    <row r="144" spans="1:29" x14ac:dyDescent="0.25">
      <c r="A144" s="6"/>
      <c r="B144" s="6"/>
      <c r="C144" s="6"/>
      <c r="D144" s="6"/>
      <c r="E144" s="6"/>
      <c r="F144" s="6"/>
      <c r="G144" s="6"/>
      <c r="H144" s="6"/>
      <c r="I144" s="6"/>
      <c r="J144" s="6"/>
      <c r="K144" s="6"/>
      <c r="L144" s="6"/>
      <c r="M144" s="6"/>
      <c r="N144" s="6"/>
      <c r="O144" s="6"/>
    </row>
    <row r="145" spans="1:15" x14ac:dyDescent="0.25">
      <c r="A145" s="6"/>
      <c r="B145" s="6"/>
      <c r="C145" s="6"/>
      <c r="D145" s="6"/>
      <c r="E145" s="6"/>
      <c r="F145" s="6"/>
      <c r="G145" s="6"/>
      <c r="H145" s="6"/>
      <c r="I145" s="6"/>
      <c r="J145" s="6"/>
      <c r="K145" s="6"/>
      <c r="L145" s="6"/>
      <c r="M145" s="6"/>
      <c r="N145" s="6"/>
      <c r="O145" s="6"/>
    </row>
    <row r="146" spans="1:15" x14ac:dyDescent="0.25">
      <c r="A146" s="6"/>
      <c r="O146" s="6"/>
    </row>
    <row r="147" spans="1:15" x14ac:dyDescent="0.25">
      <c r="A147" s="6"/>
      <c r="O147" s="6"/>
    </row>
    <row r="148" spans="1:15" x14ac:dyDescent="0.25">
      <c r="A148" s="6"/>
      <c r="O148" s="6"/>
    </row>
    <row r="149" spans="1:15" x14ac:dyDescent="0.25">
      <c r="A149" s="6"/>
      <c r="O149" s="6"/>
    </row>
    <row r="150" spans="1:15" x14ac:dyDescent="0.25">
      <c r="A150" s="6"/>
      <c r="O150" s="6"/>
    </row>
    <row r="151" spans="1:15" x14ac:dyDescent="0.25">
      <c r="A151" s="6"/>
      <c r="O151" s="6"/>
    </row>
    <row r="152" spans="1:15" x14ac:dyDescent="0.25">
      <c r="A152" s="6"/>
      <c r="O152" s="6"/>
    </row>
    <row r="153" spans="1:15" x14ac:dyDescent="0.25">
      <c r="A153" s="6"/>
      <c r="O153" s="6"/>
    </row>
    <row r="154" spans="1:15" x14ac:dyDescent="0.25">
      <c r="A154" s="6"/>
      <c r="O154" s="6"/>
    </row>
    <row r="155" spans="1:15" x14ac:dyDescent="0.25">
      <c r="A155" s="6"/>
      <c r="O155" s="6"/>
    </row>
    <row r="156" spans="1:15" x14ac:dyDescent="0.25">
      <c r="A156" s="6"/>
      <c r="O156" s="6"/>
    </row>
    <row r="157" spans="1:15" x14ac:dyDescent="0.25">
      <c r="A157" s="6"/>
      <c r="O157" s="6"/>
    </row>
    <row r="158" spans="1:15" x14ac:dyDescent="0.25">
      <c r="A158" s="6"/>
      <c r="O158" s="6"/>
    </row>
    <row r="159" spans="1:15" x14ac:dyDescent="0.25">
      <c r="A159" s="6"/>
      <c r="O159" s="6"/>
    </row>
    <row r="160" spans="1:15" x14ac:dyDescent="0.25">
      <c r="A160" s="6"/>
      <c r="O160" s="6"/>
    </row>
    <row r="161" spans="1:15" x14ac:dyDescent="0.25">
      <c r="A161" s="6"/>
      <c r="O161" s="6"/>
    </row>
    <row r="162" spans="1:15" x14ac:dyDescent="0.25">
      <c r="A162" s="6"/>
      <c r="O162" s="6"/>
    </row>
    <row r="163" spans="1:15" x14ac:dyDescent="0.25">
      <c r="A163" s="6"/>
      <c r="O163" s="6"/>
    </row>
    <row r="164" spans="1:15" x14ac:dyDescent="0.25">
      <c r="A164" s="6"/>
      <c r="O164" s="6"/>
    </row>
    <row r="165" spans="1:15" x14ac:dyDescent="0.25">
      <c r="A165" s="6"/>
      <c r="O165" s="6"/>
    </row>
    <row r="166" spans="1:15" x14ac:dyDescent="0.25">
      <c r="A166" s="6"/>
      <c r="O166" s="6"/>
    </row>
    <row r="167" spans="1:15" x14ac:dyDescent="0.25">
      <c r="A167" s="6"/>
      <c r="O167" s="6"/>
    </row>
    <row r="168" spans="1:15" x14ac:dyDescent="0.25">
      <c r="A168" s="6"/>
      <c r="O168" s="6"/>
    </row>
    <row r="169" spans="1:15" x14ac:dyDescent="0.25">
      <c r="A169" s="6"/>
      <c r="O169" s="6"/>
    </row>
    <row r="170" spans="1:15" x14ac:dyDescent="0.25">
      <c r="A170" s="6"/>
      <c r="O170" s="6"/>
    </row>
    <row r="171" spans="1:15" x14ac:dyDescent="0.25">
      <c r="A171" s="6"/>
      <c r="O171" s="6"/>
    </row>
    <row r="172" spans="1:15" x14ac:dyDescent="0.25">
      <c r="A172" s="6"/>
      <c r="O172" s="6"/>
    </row>
    <row r="173" spans="1:15" x14ac:dyDescent="0.25">
      <c r="A173" s="6"/>
      <c r="O173" s="6"/>
    </row>
    <row r="174" spans="1:15" x14ac:dyDescent="0.25">
      <c r="A174" s="6"/>
      <c r="O174" s="6"/>
    </row>
    <row r="175" spans="1:15" x14ac:dyDescent="0.25">
      <c r="A175" s="6"/>
      <c r="O175" s="6"/>
    </row>
    <row r="176" spans="1:15" x14ac:dyDescent="0.25">
      <c r="A176" s="6"/>
      <c r="O176" s="6"/>
    </row>
    <row r="177" spans="1:15" x14ac:dyDescent="0.25">
      <c r="A177" s="6"/>
      <c r="O177" s="6"/>
    </row>
    <row r="178" spans="1:15" x14ac:dyDescent="0.25">
      <c r="A178" s="6"/>
      <c r="O178" s="6"/>
    </row>
    <row r="179" spans="1:15" x14ac:dyDescent="0.25">
      <c r="A179" s="6"/>
      <c r="O179" s="6"/>
    </row>
    <row r="180" spans="1:15" x14ac:dyDescent="0.25">
      <c r="A180" s="6"/>
      <c r="O180" s="6"/>
    </row>
    <row r="181" spans="1:15" x14ac:dyDescent="0.25">
      <c r="A181" s="6"/>
      <c r="O181" s="6"/>
    </row>
    <row r="182" spans="1:15" x14ac:dyDescent="0.25">
      <c r="A182" s="6"/>
      <c r="O182" s="6"/>
    </row>
    <row r="183" spans="1:15" x14ac:dyDescent="0.25">
      <c r="A183" s="6"/>
      <c r="O183" s="6"/>
    </row>
    <row r="184" spans="1:15" x14ac:dyDescent="0.25">
      <c r="A184" s="6"/>
      <c r="O184" s="6"/>
    </row>
    <row r="185" spans="1:15" x14ac:dyDescent="0.25">
      <c r="A185" s="6"/>
      <c r="O185" s="6"/>
    </row>
    <row r="186" spans="1:15" x14ac:dyDescent="0.25">
      <c r="A186" s="6"/>
      <c r="O186" s="6"/>
    </row>
    <row r="187" spans="1:15" x14ac:dyDescent="0.25">
      <c r="A187" s="6"/>
      <c r="O187" s="6"/>
    </row>
    <row r="188" spans="1:15" x14ac:dyDescent="0.25">
      <c r="A188" s="6"/>
      <c r="O188" s="6"/>
    </row>
    <row r="189" spans="1:15" x14ac:dyDescent="0.25">
      <c r="A189" s="6"/>
      <c r="O189" s="6"/>
    </row>
    <row r="190" spans="1:15" x14ac:dyDescent="0.25">
      <c r="A190" s="6"/>
      <c r="O190" s="6"/>
    </row>
    <row r="191" spans="1:15" x14ac:dyDescent="0.25">
      <c r="A191" s="6"/>
      <c r="O191" s="6"/>
    </row>
    <row r="192" spans="1:15" x14ac:dyDescent="0.25">
      <c r="A192" s="6"/>
      <c r="O192" s="6"/>
    </row>
    <row r="193" spans="1:15" x14ac:dyDescent="0.25">
      <c r="A193" s="6"/>
      <c r="O193" s="6"/>
    </row>
    <row r="194" spans="1:15" x14ac:dyDescent="0.25">
      <c r="A194" s="6"/>
      <c r="O194" s="6"/>
    </row>
    <row r="195" spans="1:15" x14ac:dyDescent="0.25">
      <c r="A195" s="6"/>
      <c r="O195" s="6"/>
    </row>
    <row r="196" spans="1:15" x14ac:dyDescent="0.25">
      <c r="A196" s="6"/>
      <c r="O196" s="6"/>
    </row>
    <row r="197" spans="1:15" x14ac:dyDescent="0.25">
      <c r="A197" s="6"/>
      <c r="O197" s="6"/>
    </row>
    <row r="198" spans="1:15" x14ac:dyDescent="0.25">
      <c r="A198" s="6"/>
      <c r="O198" s="6"/>
    </row>
    <row r="199" spans="1:15" x14ac:dyDescent="0.25">
      <c r="A199" s="6"/>
      <c r="O199" s="6"/>
    </row>
    <row r="200" spans="1:15" x14ac:dyDescent="0.25">
      <c r="A200" s="6"/>
      <c r="O200" s="6"/>
    </row>
    <row r="201" spans="1:15" x14ac:dyDescent="0.25">
      <c r="A201" s="6"/>
      <c r="O201" s="6"/>
    </row>
    <row r="202" spans="1:15" x14ac:dyDescent="0.25">
      <c r="A202" s="6"/>
      <c r="O202" s="6"/>
    </row>
    <row r="203" spans="1:15" x14ac:dyDescent="0.25">
      <c r="A203" s="6"/>
      <c r="O203" s="6"/>
    </row>
    <row r="204" spans="1:15" x14ac:dyDescent="0.25">
      <c r="A204" s="6"/>
      <c r="O204" s="6"/>
    </row>
    <row r="205" spans="1:15" x14ac:dyDescent="0.25">
      <c r="A205" s="6"/>
      <c r="O205" s="6"/>
    </row>
    <row r="206" spans="1:15" x14ac:dyDescent="0.25">
      <c r="A206" s="6"/>
      <c r="O206" s="6"/>
    </row>
    <row r="207" spans="1:15" x14ac:dyDescent="0.25">
      <c r="A207" s="6"/>
      <c r="O207" s="6"/>
    </row>
    <row r="208" spans="1:15" x14ac:dyDescent="0.25">
      <c r="A208" s="6"/>
      <c r="O208" s="6"/>
    </row>
    <row r="209" spans="1:15" x14ac:dyDescent="0.25">
      <c r="A209" s="6"/>
      <c r="O209" s="6"/>
    </row>
    <row r="210" spans="1:15" x14ac:dyDescent="0.25">
      <c r="A210" s="6"/>
      <c r="O210" s="6"/>
    </row>
    <row r="211" spans="1:15" x14ac:dyDescent="0.25">
      <c r="A211" s="6"/>
      <c r="O211" s="6"/>
    </row>
    <row r="212" spans="1:15" x14ac:dyDescent="0.25">
      <c r="A212" s="6"/>
      <c r="O212" s="6"/>
    </row>
    <row r="213" spans="1:15" x14ac:dyDescent="0.25">
      <c r="A213" s="6"/>
      <c r="O213" s="6"/>
    </row>
    <row r="214" spans="1:15" x14ac:dyDescent="0.25">
      <c r="A214" s="6"/>
      <c r="O214" s="6"/>
    </row>
    <row r="215" spans="1:15" x14ac:dyDescent="0.25">
      <c r="A215" s="6"/>
      <c r="O215" s="6"/>
    </row>
    <row r="216" spans="1:15" x14ac:dyDescent="0.25">
      <c r="A216" s="6"/>
      <c r="O216" s="6"/>
    </row>
    <row r="217" spans="1:15" x14ac:dyDescent="0.25">
      <c r="A217" s="6"/>
      <c r="O217" s="6"/>
    </row>
    <row r="218" spans="1:15" x14ac:dyDescent="0.25">
      <c r="A218" s="6"/>
      <c r="O218" s="6"/>
    </row>
    <row r="219" spans="1:15" x14ac:dyDescent="0.25">
      <c r="A219" s="6"/>
      <c r="O219" s="6"/>
    </row>
    <row r="220" spans="1:15" x14ac:dyDescent="0.25">
      <c r="A220" s="6"/>
      <c r="O220" s="6"/>
    </row>
    <row r="221" spans="1:15" x14ac:dyDescent="0.25">
      <c r="A221" s="6"/>
      <c r="O221" s="6"/>
    </row>
    <row r="222" spans="1:15" x14ac:dyDescent="0.25">
      <c r="A222" s="6"/>
      <c r="O222" s="6"/>
    </row>
    <row r="223" spans="1:15" x14ac:dyDescent="0.25">
      <c r="A223" s="6"/>
      <c r="O223" s="6"/>
    </row>
    <row r="224" spans="1:15" x14ac:dyDescent="0.25">
      <c r="A224" s="6"/>
      <c r="O224" s="6"/>
    </row>
    <row r="225" spans="1:15" x14ac:dyDescent="0.25">
      <c r="A225" s="6"/>
      <c r="O225" s="6"/>
    </row>
    <row r="226" spans="1:15" x14ac:dyDescent="0.25">
      <c r="A226" s="6"/>
      <c r="O226" s="6"/>
    </row>
    <row r="227" spans="1:15" x14ac:dyDescent="0.25">
      <c r="A227" s="6"/>
      <c r="O227" s="6"/>
    </row>
    <row r="228" spans="1:15" x14ac:dyDescent="0.25">
      <c r="A228" s="6"/>
      <c r="O228" s="6"/>
    </row>
    <row r="229" spans="1:15" x14ac:dyDescent="0.25">
      <c r="A229" s="6"/>
      <c r="O229" s="6"/>
    </row>
    <row r="230" spans="1:15" x14ac:dyDescent="0.25">
      <c r="A230" s="6"/>
      <c r="O230" s="6"/>
    </row>
    <row r="231" spans="1:15" x14ac:dyDescent="0.25">
      <c r="A231" s="6"/>
      <c r="O231" s="6"/>
    </row>
    <row r="232" spans="1:15" x14ac:dyDescent="0.25">
      <c r="A232" s="6"/>
      <c r="O232" s="6"/>
    </row>
    <row r="233" spans="1:15" x14ac:dyDescent="0.25">
      <c r="A233" s="6"/>
      <c r="O233" s="6"/>
    </row>
    <row r="234" spans="1:15" x14ac:dyDescent="0.25">
      <c r="A234" s="6"/>
      <c r="O234" s="6"/>
    </row>
    <row r="235" spans="1:15" x14ac:dyDescent="0.25">
      <c r="A235" s="6"/>
      <c r="O235" s="6"/>
    </row>
    <row r="236" spans="1:15" x14ac:dyDescent="0.25">
      <c r="A236" s="6"/>
      <c r="O236" s="6"/>
    </row>
    <row r="237" spans="1:15" x14ac:dyDescent="0.25">
      <c r="A237" s="6"/>
      <c r="O237" s="6"/>
    </row>
    <row r="238" spans="1:15" x14ac:dyDescent="0.25">
      <c r="A238" s="6"/>
      <c r="O238" s="6"/>
    </row>
    <row r="239" spans="1:15" x14ac:dyDescent="0.25">
      <c r="A239" s="6"/>
      <c r="O239" s="6"/>
    </row>
    <row r="240" spans="1:15" x14ac:dyDescent="0.25">
      <c r="A240" s="6"/>
      <c r="O240" s="6"/>
    </row>
    <row r="241" spans="1:15" x14ac:dyDescent="0.25">
      <c r="A241" s="6"/>
      <c r="O241" s="6"/>
    </row>
    <row r="242" spans="1:15" x14ac:dyDescent="0.25">
      <c r="A242" s="6"/>
      <c r="O242" s="6"/>
    </row>
    <row r="243" spans="1:15" x14ac:dyDescent="0.25">
      <c r="A243" s="6"/>
      <c r="O243" s="6"/>
    </row>
    <row r="244" spans="1:15" x14ac:dyDescent="0.25">
      <c r="A244" s="6"/>
      <c r="O244" s="6"/>
    </row>
    <row r="245" spans="1:15" x14ac:dyDescent="0.25">
      <c r="A245" s="6"/>
      <c r="O245" s="6"/>
    </row>
    <row r="246" spans="1:15" x14ac:dyDescent="0.25">
      <c r="A246" s="6"/>
      <c r="O246" s="6"/>
    </row>
    <row r="247" spans="1:15" x14ac:dyDescent="0.25">
      <c r="A247" s="6"/>
      <c r="O247" s="6"/>
    </row>
    <row r="248" spans="1:15" x14ac:dyDescent="0.25">
      <c r="A248" s="6"/>
      <c r="O248" s="6"/>
    </row>
    <row r="249" spans="1:15" x14ac:dyDescent="0.25">
      <c r="A249" s="6"/>
      <c r="O249" s="6"/>
    </row>
    <row r="250" spans="1:15" x14ac:dyDescent="0.25">
      <c r="A250" s="6"/>
      <c r="O250" s="6"/>
    </row>
    <row r="251" spans="1:15" x14ac:dyDescent="0.25">
      <c r="A251" s="6"/>
      <c r="O251" s="6"/>
    </row>
    <row r="252" spans="1:15" x14ac:dyDescent="0.25">
      <c r="A252" s="6"/>
      <c r="O252" s="6"/>
    </row>
    <row r="253" spans="1:15" x14ac:dyDescent="0.25">
      <c r="A253" s="6"/>
      <c r="O253" s="6"/>
    </row>
    <row r="254" spans="1:15" x14ac:dyDescent="0.25">
      <c r="A254" s="6"/>
      <c r="O254" s="6"/>
    </row>
    <row r="255" spans="1:15" x14ac:dyDescent="0.25">
      <c r="A255" s="6"/>
      <c r="O255" s="6"/>
    </row>
    <row r="256" spans="1:15" x14ac:dyDescent="0.25">
      <c r="A256" s="6"/>
      <c r="O256" s="6"/>
    </row>
    <row r="257" spans="1:15" x14ac:dyDescent="0.25">
      <c r="A257" s="6"/>
      <c r="O257" s="6"/>
    </row>
    <row r="258" spans="1:15" x14ac:dyDescent="0.25">
      <c r="A258" s="6"/>
      <c r="O258" s="6"/>
    </row>
    <row r="259" spans="1:15" x14ac:dyDescent="0.25">
      <c r="A259" s="6"/>
      <c r="O259" s="6"/>
    </row>
    <row r="260" spans="1:15" x14ac:dyDescent="0.25">
      <c r="A260" s="6"/>
      <c r="O260" s="6"/>
    </row>
    <row r="261" spans="1:15" x14ac:dyDescent="0.25">
      <c r="A261" s="6"/>
      <c r="O261" s="6"/>
    </row>
    <row r="262" spans="1:15" x14ac:dyDescent="0.25">
      <c r="A262" s="6"/>
      <c r="O262" s="6"/>
    </row>
    <row r="263" spans="1:15" x14ac:dyDescent="0.25">
      <c r="A263" s="6"/>
      <c r="O263" s="6"/>
    </row>
    <row r="264" spans="1:15" x14ac:dyDescent="0.25">
      <c r="A264" s="6"/>
      <c r="O264" s="6"/>
    </row>
    <row r="265" spans="1:15" x14ac:dyDescent="0.25">
      <c r="A265" s="6"/>
      <c r="O265" s="6"/>
    </row>
    <row r="266" spans="1:15" x14ac:dyDescent="0.25">
      <c r="A266" s="6"/>
      <c r="O266" s="6"/>
    </row>
    <row r="267" spans="1:15" x14ac:dyDescent="0.25">
      <c r="A267" s="6"/>
      <c r="O267" s="6"/>
    </row>
    <row r="268" spans="1:15" x14ac:dyDescent="0.25">
      <c r="A268" s="6"/>
      <c r="O268" s="6"/>
    </row>
    <row r="269" spans="1:15" x14ac:dyDescent="0.25">
      <c r="A269" s="6"/>
      <c r="O269" s="6"/>
    </row>
    <row r="270" spans="1:15" x14ac:dyDescent="0.25">
      <c r="A270" s="6"/>
      <c r="O270" s="6"/>
    </row>
    <row r="271" spans="1:15" x14ac:dyDescent="0.25">
      <c r="A271" s="6"/>
      <c r="O271" s="6"/>
    </row>
    <row r="272" spans="1:15" x14ac:dyDescent="0.25">
      <c r="A272" s="6"/>
      <c r="O272" s="6"/>
    </row>
    <row r="273" spans="1:15" x14ac:dyDescent="0.25">
      <c r="A273" s="6"/>
      <c r="O273" s="6"/>
    </row>
    <row r="274" spans="1:15" x14ac:dyDescent="0.25">
      <c r="A274" s="6"/>
      <c r="O274" s="6"/>
    </row>
    <row r="275" spans="1:15" x14ac:dyDescent="0.25">
      <c r="A275" s="6"/>
      <c r="O275" s="6"/>
    </row>
    <row r="276" spans="1:15" x14ac:dyDescent="0.25">
      <c r="A276" s="6"/>
      <c r="O276" s="6"/>
    </row>
    <row r="277" spans="1:15" x14ac:dyDescent="0.25">
      <c r="A277" s="6"/>
      <c r="O277" s="6"/>
    </row>
    <row r="278" spans="1:15" x14ac:dyDescent="0.25">
      <c r="A278" s="6"/>
      <c r="O278" s="6"/>
    </row>
    <row r="279" spans="1:15" x14ac:dyDescent="0.25">
      <c r="A279" s="6"/>
      <c r="O279" s="6"/>
    </row>
    <row r="280" spans="1:15" x14ac:dyDescent="0.25">
      <c r="A280" s="6"/>
      <c r="O280" s="6"/>
    </row>
    <row r="281" spans="1:15" x14ac:dyDescent="0.25">
      <c r="A281" s="6"/>
      <c r="O281" s="6"/>
    </row>
    <row r="282" spans="1:15" x14ac:dyDescent="0.25">
      <c r="A282" s="6"/>
      <c r="O282" s="6"/>
    </row>
    <row r="283" spans="1:15" x14ac:dyDescent="0.25">
      <c r="A283" s="6"/>
      <c r="O283" s="6"/>
    </row>
    <row r="284" spans="1:15" x14ac:dyDescent="0.25">
      <c r="A284" s="6"/>
      <c r="O284" s="6"/>
    </row>
    <row r="285" spans="1:15" x14ac:dyDescent="0.25">
      <c r="A285" s="6"/>
      <c r="O285" s="6"/>
    </row>
    <row r="286" spans="1:15" x14ac:dyDescent="0.25">
      <c r="A286" s="6"/>
      <c r="O286" s="6"/>
    </row>
    <row r="287" spans="1:15" x14ac:dyDescent="0.25">
      <c r="A287" s="6"/>
      <c r="O287" s="6"/>
    </row>
    <row r="288" spans="1:15" x14ac:dyDescent="0.25">
      <c r="A288" s="6"/>
      <c r="O288" s="6"/>
    </row>
    <row r="289" spans="1:15" x14ac:dyDescent="0.25">
      <c r="A289" s="6"/>
      <c r="O289" s="6"/>
    </row>
    <row r="290" spans="1:15" x14ac:dyDescent="0.25">
      <c r="A290" s="6"/>
      <c r="O290" s="6"/>
    </row>
    <row r="291" spans="1:15" x14ac:dyDescent="0.25">
      <c r="A291" s="6"/>
      <c r="O291" s="6"/>
    </row>
    <row r="292" spans="1:15" x14ac:dyDescent="0.25">
      <c r="A292" s="6"/>
      <c r="O292" s="6"/>
    </row>
    <row r="293" spans="1:15" x14ac:dyDescent="0.25">
      <c r="A293" s="6"/>
      <c r="O293" s="6"/>
    </row>
    <row r="294" spans="1:15" x14ac:dyDescent="0.25">
      <c r="A294" s="6"/>
      <c r="O294" s="6"/>
    </row>
    <row r="295" spans="1:15" x14ac:dyDescent="0.25">
      <c r="A295" s="6"/>
      <c r="O295" s="6"/>
    </row>
    <row r="296" spans="1:15" x14ac:dyDescent="0.25">
      <c r="A296" s="6"/>
      <c r="O296" s="6"/>
    </row>
    <row r="297" spans="1:15" x14ac:dyDescent="0.25">
      <c r="A297" s="6"/>
      <c r="O297" s="6"/>
    </row>
    <row r="298" spans="1:15" x14ac:dyDescent="0.25">
      <c r="A298" s="6"/>
      <c r="O298" s="6"/>
    </row>
    <row r="299" spans="1:15" x14ac:dyDescent="0.25">
      <c r="A299" s="6"/>
      <c r="O299" s="6"/>
    </row>
    <row r="300" spans="1:15" x14ac:dyDescent="0.25">
      <c r="A300" s="6"/>
      <c r="O300" s="6"/>
    </row>
    <row r="301" spans="1:15" x14ac:dyDescent="0.25">
      <c r="A301" s="6"/>
      <c r="O301" s="6"/>
    </row>
    <row r="302" spans="1:15" x14ac:dyDescent="0.25">
      <c r="A302" s="6"/>
      <c r="O302" s="6"/>
    </row>
    <row r="303" spans="1:15" x14ac:dyDescent="0.25">
      <c r="A303" s="6"/>
      <c r="O303" s="6"/>
    </row>
    <row r="304" spans="1:15" x14ac:dyDescent="0.25">
      <c r="A304" s="6"/>
      <c r="O304" s="6"/>
    </row>
    <row r="305" spans="1:15" x14ac:dyDescent="0.25">
      <c r="A305" s="6"/>
      <c r="O305" s="6"/>
    </row>
    <row r="306" spans="1:15" x14ac:dyDescent="0.25">
      <c r="A306" s="6"/>
      <c r="O306" s="6"/>
    </row>
    <row r="307" spans="1:15" x14ac:dyDescent="0.25">
      <c r="A307" s="6"/>
      <c r="O307" s="6"/>
    </row>
    <row r="308" spans="1:15" x14ac:dyDescent="0.25">
      <c r="A308" s="6"/>
      <c r="O308" s="6"/>
    </row>
    <row r="309" spans="1:15" x14ac:dyDescent="0.25">
      <c r="A309" s="6"/>
      <c r="O309" s="6"/>
    </row>
    <row r="310" spans="1:15" x14ac:dyDescent="0.25">
      <c r="A310" s="6"/>
      <c r="O310" s="6"/>
    </row>
    <row r="311" spans="1:15" x14ac:dyDescent="0.25">
      <c r="A311" s="6"/>
      <c r="O311" s="6"/>
    </row>
    <row r="312" spans="1:15" x14ac:dyDescent="0.25">
      <c r="A312" s="6"/>
      <c r="O312" s="6"/>
    </row>
    <row r="313" spans="1:15" x14ac:dyDescent="0.25">
      <c r="A313" s="6"/>
      <c r="O313" s="6"/>
    </row>
    <row r="314" spans="1:15" x14ac:dyDescent="0.25">
      <c r="A314" s="6"/>
      <c r="O314" s="6"/>
    </row>
    <row r="315" spans="1:15" x14ac:dyDescent="0.25">
      <c r="A315" s="6"/>
      <c r="O315" s="6"/>
    </row>
    <row r="316" spans="1:15" x14ac:dyDescent="0.25">
      <c r="A316" s="6"/>
      <c r="O316" s="6"/>
    </row>
    <row r="317" spans="1:15" x14ac:dyDescent="0.25">
      <c r="A317" s="6"/>
      <c r="O317" s="6"/>
    </row>
    <row r="318" spans="1:15" x14ac:dyDescent="0.25">
      <c r="A318" s="6"/>
      <c r="O318" s="6"/>
    </row>
    <row r="319" spans="1:15" x14ac:dyDescent="0.25">
      <c r="A319" s="6"/>
      <c r="O319" s="6"/>
    </row>
    <row r="320" spans="1:15" x14ac:dyDescent="0.25">
      <c r="A320" s="6"/>
      <c r="O320" s="6"/>
    </row>
    <row r="321" spans="1:15" x14ac:dyDescent="0.25">
      <c r="A321" s="6"/>
      <c r="O321" s="6"/>
    </row>
    <row r="322" spans="1:15" x14ac:dyDescent="0.25">
      <c r="A322" s="6"/>
      <c r="O322" s="6"/>
    </row>
    <row r="323" spans="1:15" x14ac:dyDescent="0.25">
      <c r="A323" s="6"/>
      <c r="O323" s="6"/>
    </row>
    <row r="324" spans="1:15" x14ac:dyDescent="0.25">
      <c r="A324" s="6"/>
      <c r="O324" s="6"/>
    </row>
    <row r="325" spans="1:15" x14ac:dyDescent="0.25">
      <c r="A325" s="6"/>
      <c r="O325" s="6"/>
    </row>
    <row r="326" spans="1:15" x14ac:dyDescent="0.25">
      <c r="A326" s="6"/>
      <c r="O326" s="6"/>
    </row>
    <row r="327" spans="1:15" x14ac:dyDescent="0.25">
      <c r="A327" s="6"/>
      <c r="O327" s="6"/>
    </row>
    <row r="328" spans="1:15" x14ac:dyDescent="0.25">
      <c r="A328" s="6"/>
      <c r="O328" s="6"/>
    </row>
    <row r="329" spans="1:15" x14ac:dyDescent="0.25">
      <c r="A329" s="6"/>
      <c r="O329" s="6"/>
    </row>
    <row r="330" spans="1:15" x14ac:dyDescent="0.25">
      <c r="A330" s="6"/>
      <c r="O330" s="6"/>
    </row>
    <row r="331" spans="1:15" x14ac:dyDescent="0.25">
      <c r="A331" s="6"/>
      <c r="O331" s="6"/>
    </row>
    <row r="332" spans="1:15" x14ac:dyDescent="0.25">
      <c r="A332" s="6"/>
      <c r="O332" s="6"/>
    </row>
    <row r="333" spans="1:15" x14ac:dyDescent="0.25">
      <c r="A333" s="6"/>
      <c r="O333" s="6"/>
    </row>
    <row r="334" spans="1:15" x14ac:dyDescent="0.25">
      <c r="A334" s="6"/>
      <c r="O334" s="6"/>
    </row>
    <row r="335" spans="1:15" x14ac:dyDescent="0.25">
      <c r="A335" s="6"/>
      <c r="O335" s="6"/>
    </row>
    <row r="336" spans="1:15" x14ac:dyDescent="0.25">
      <c r="A336" s="6"/>
      <c r="O336" s="6"/>
    </row>
    <row r="337" spans="1:15" x14ac:dyDescent="0.25">
      <c r="A337" s="6"/>
      <c r="O337" s="6"/>
    </row>
    <row r="338" spans="1:15" x14ac:dyDescent="0.25">
      <c r="A338" s="6"/>
      <c r="O338" s="6"/>
    </row>
    <row r="339" spans="1:15" x14ac:dyDescent="0.25">
      <c r="A339" s="6"/>
      <c r="O339" s="6"/>
    </row>
    <row r="340" spans="1:15" x14ac:dyDescent="0.25">
      <c r="A340" s="6"/>
      <c r="O340" s="6"/>
    </row>
    <row r="341" spans="1:15" x14ac:dyDescent="0.25">
      <c r="A341" s="6"/>
      <c r="O341" s="6"/>
    </row>
    <row r="342" spans="1:15" x14ac:dyDescent="0.25">
      <c r="A342" s="6"/>
      <c r="O342" s="6"/>
    </row>
    <row r="343" spans="1:15" x14ac:dyDescent="0.25">
      <c r="A343" s="6"/>
      <c r="O343" s="6"/>
    </row>
    <row r="344" spans="1:15" x14ac:dyDescent="0.25">
      <c r="A344" s="6"/>
      <c r="O344" s="6"/>
    </row>
    <row r="345" spans="1:15" x14ac:dyDescent="0.25">
      <c r="A345" s="6"/>
      <c r="O345" s="6"/>
    </row>
    <row r="346" spans="1:15" x14ac:dyDescent="0.25">
      <c r="A346" s="6"/>
      <c r="O346" s="6"/>
    </row>
    <row r="347" spans="1:15" x14ac:dyDescent="0.25">
      <c r="A347" s="6"/>
      <c r="O347" s="6"/>
    </row>
    <row r="348" spans="1:15" x14ac:dyDescent="0.25">
      <c r="A348" s="6"/>
      <c r="O348" s="6"/>
    </row>
    <row r="349" spans="1:15" x14ac:dyDescent="0.25">
      <c r="A349" s="6"/>
      <c r="O349" s="6"/>
    </row>
    <row r="350" spans="1:15" x14ac:dyDescent="0.25">
      <c r="A350" s="6"/>
      <c r="O350" s="6"/>
    </row>
    <row r="351" spans="1:15" x14ac:dyDescent="0.25">
      <c r="A351" s="6"/>
      <c r="O351" s="6"/>
    </row>
    <row r="352" spans="1:15" x14ac:dyDescent="0.25">
      <c r="A352" s="6"/>
      <c r="O352" s="6"/>
    </row>
    <row r="353" spans="1:15" x14ac:dyDescent="0.25">
      <c r="A353" s="6"/>
      <c r="O353" s="6"/>
    </row>
    <row r="354" spans="1:15" x14ac:dyDescent="0.25">
      <c r="A354" s="6"/>
      <c r="O354" s="6"/>
    </row>
    <row r="355" spans="1:15" x14ac:dyDescent="0.25">
      <c r="A355" s="6"/>
      <c r="O355" s="6"/>
    </row>
    <row r="356" spans="1:15" x14ac:dyDescent="0.25">
      <c r="A356" s="6"/>
      <c r="O356" s="6"/>
    </row>
    <row r="357" spans="1:15" x14ac:dyDescent="0.25">
      <c r="A357" s="6"/>
      <c r="O357" s="6"/>
    </row>
    <row r="358" spans="1:15" x14ac:dyDescent="0.25">
      <c r="A358" s="6"/>
      <c r="O358" s="6"/>
    </row>
    <row r="359" spans="1:15" x14ac:dyDescent="0.25">
      <c r="A359" s="6"/>
      <c r="O359" s="6"/>
    </row>
    <row r="360" spans="1:15" x14ac:dyDescent="0.25">
      <c r="A360" s="6"/>
      <c r="O360" s="6"/>
    </row>
    <row r="361" spans="1:15" x14ac:dyDescent="0.25">
      <c r="A361" s="6"/>
      <c r="O361" s="6"/>
    </row>
    <row r="362" spans="1:15" x14ac:dyDescent="0.25">
      <c r="A362" s="6"/>
      <c r="O362" s="6"/>
    </row>
    <row r="363" spans="1:15" x14ac:dyDescent="0.25">
      <c r="A363" s="6"/>
      <c r="O363" s="6"/>
    </row>
    <row r="364" spans="1:15" x14ac:dyDescent="0.25">
      <c r="A364" s="6"/>
      <c r="O364" s="6"/>
    </row>
    <row r="365" spans="1:15" x14ac:dyDescent="0.25">
      <c r="A365" s="6"/>
      <c r="O365" s="6"/>
    </row>
    <row r="366" spans="1:15" x14ac:dyDescent="0.25">
      <c r="A366" s="6"/>
      <c r="O366" s="6"/>
    </row>
    <row r="367" spans="1:15" x14ac:dyDescent="0.25">
      <c r="A367" s="6"/>
      <c r="O367" s="6"/>
    </row>
    <row r="368" spans="1:15" x14ac:dyDescent="0.25">
      <c r="A368" s="6"/>
      <c r="O368" s="6"/>
    </row>
    <row r="369" spans="1:15" x14ac:dyDescent="0.25">
      <c r="A369" s="6"/>
      <c r="O369" s="6"/>
    </row>
    <row r="370" spans="1:15" x14ac:dyDescent="0.25">
      <c r="A370" s="6"/>
      <c r="O370" s="6"/>
    </row>
    <row r="371" spans="1:15" x14ac:dyDescent="0.25">
      <c r="A371" s="6"/>
      <c r="O371" s="6"/>
    </row>
    <row r="372" spans="1:15" x14ac:dyDescent="0.25">
      <c r="A372" s="6"/>
      <c r="O372" s="6"/>
    </row>
    <row r="373" spans="1:15" x14ac:dyDescent="0.25">
      <c r="A373" s="6"/>
      <c r="O373" s="6"/>
    </row>
    <row r="374" spans="1:15" x14ac:dyDescent="0.25">
      <c r="A374" s="6"/>
      <c r="O374" s="6"/>
    </row>
    <row r="375" spans="1:15" x14ac:dyDescent="0.25">
      <c r="A375" s="6"/>
      <c r="O375" s="6"/>
    </row>
    <row r="376" spans="1:15" x14ac:dyDescent="0.25">
      <c r="A376" s="6"/>
      <c r="O376" s="6"/>
    </row>
    <row r="377" spans="1:15" x14ac:dyDescent="0.25">
      <c r="A377" s="6"/>
      <c r="O377" s="6"/>
    </row>
    <row r="378" spans="1:15" x14ac:dyDescent="0.25">
      <c r="A378" s="6"/>
      <c r="O378" s="6"/>
    </row>
    <row r="379" spans="1:15" x14ac:dyDescent="0.25">
      <c r="A379" s="6"/>
      <c r="O379" s="6"/>
    </row>
    <row r="380" spans="1:15" x14ac:dyDescent="0.25">
      <c r="A380" s="6"/>
      <c r="O380" s="6"/>
    </row>
    <row r="381" spans="1:15" x14ac:dyDescent="0.25">
      <c r="A381" s="6"/>
      <c r="O381" s="6"/>
    </row>
    <row r="382" spans="1:15" x14ac:dyDescent="0.25">
      <c r="A382" s="6"/>
      <c r="O382" s="6"/>
    </row>
    <row r="383" spans="1:15" x14ac:dyDescent="0.25">
      <c r="A383" s="6"/>
      <c r="O383" s="6"/>
    </row>
    <row r="384" spans="1:15" x14ac:dyDescent="0.25">
      <c r="A384" s="6"/>
      <c r="O384" s="6"/>
    </row>
    <row r="385" spans="1:15" x14ac:dyDescent="0.25">
      <c r="A385" s="6"/>
      <c r="O385" s="6"/>
    </row>
    <row r="386" spans="1:15" x14ac:dyDescent="0.25">
      <c r="A386" s="6"/>
      <c r="O386" s="6"/>
    </row>
    <row r="387" spans="1:15" x14ac:dyDescent="0.25">
      <c r="A387" s="6"/>
      <c r="O387" s="6"/>
    </row>
    <row r="388" spans="1:15" x14ac:dyDescent="0.25">
      <c r="A388" s="6"/>
      <c r="O388" s="6"/>
    </row>
    <row r="389" spans="1:15" x14ac:dyDescent="0.25">
      <c r="A389" s="6"/>
      <c r="O389" s="6"/>
    </row>
    <row r="390" spans="1:15" x14ac:dyDescent="0.25">
      <c r="A390" s="6"/>
      <c r="O390" s="6"/>
    </row>
    <row r="391" spans="1:15" x14ac:dyDescent="0.25">
      <c r="A391" s="6"/>
      <c r="O391" s="6"/>
    </row>
    <row r="392" spans="1:15" x14ac:dyDescent="0.25">
      <c r="A392" s="6"/>
      <c r="O392" s="6"/>
    </row>
    <row r="393" spans="1:15" x14ac:dyDescent="0.25">
      <c r="A393" s="6"/>
      <c r="O393" s="6"/>
    </row>
    <row r="394" spans="1:15" x14ac:dyDescent="0.25">
      <c r="A394" s="6"/>
      <c r="O394" s="6"/>
    </row>
    <row r="395" spans="1:15" x14ac:dyDescent="0.25">
      <c r="A395" s="6"/>
      <c r="O395" s="6"/>
    </row>
    <row r="396" spans="1:15" x14ac:dyDescent="0.25">
      <c r="A396" s="6"/>
      <c r="O396" s="6"/>
    </row>
    <row r="397" spans="1:15" x14ac:dyDescent="0.25">
      <c r="A397" s="6"/>
      <c r="O397" s="6"/>
    </row>
    <row r="398" spans="1:15" x14ac:dyDescent="0.25">
      <c r="A398" s="6"/>
      <c r="O398" s="6"/>
    </row>
    <row r="399" spans="1:15" x14ac:dyDescent="0.25">
      <c r="A399" s="6"/>
      <c r="O399" s="6"/>
    </row>
    <row r="400" spans="1:15" x14ac:dyDescent="0.25">
      <c r="A400" s="6"/>
      <c r="O400" s="6"/>
    </row>
    <row r="401" spans="1:15" x14ac:dyDescent="0.25">
      <c r="A401" s="6"/>
      <c r="O401" s="6"/>
    </row>
    <row r="402" spans="1:15" x14ac:dyDescent="0.25">
      <c r="A402" s="6"/>
      <c r="O402" s="6"/>
    </row>
    <row r="403" spans="1:15" x14ac:dyDescent="0.25">
      <c r="A403" s="6"/>
      <c r="O403" s="6"/>
    </row>
    <row r="404" spans="1:15" x14ac:dyDescent="0.25">
      <c r="A404" s="6"/>
      <c r="O404" s="6"/>
    </row>
    <row r="405" spans="1:15" x14ac:dyDescent="0.25">
      <c r="A405" s="6"/>
      <c r="O405" s="6"/>
    </row>
    <row r="406" spans="1:15" x14ac:dyDescent="0.25">
      <c r="A406" s="6"/>
      <c r="O406" s="6"/>
    </row>
    <row r="407" spans="1:15" x14ac:dyDescent="0.25">
      <c r="A407" s="6"/>
      <c r="O407" s="6"/>
    </row>
    <row r="408" spans="1:15" x14ac:dyDescent="0.25">
      <c r="A408" s="6"/>
      <c r="O408" s="6"/>
    </row>
    <row r="409" spans="1:15" x14ac:dyDescent="0.25">
      <c r="A409" s="6"/>
      <c r="O409" s="6"/>
    </row>
    <row r="410" spans="1:15" x14ac:dyDescent="0.25">
      <c r="A410" s="6"/>
      <c r="O410" s="6"/>
    </row>
    <row r="411" spans="1:15" x14ac:dyDescent="0.25">
      <c r="A411" s="6"/>
      <c r="O411" s="6"/>
    </row>
    <row r="412" spans="1:15" x14ac:dyDescent="0.25">
      <c r="A412" s="6"/>
      <c r="O412" s="6"/>
    </row>
    <row r="413" spans="1:15" x14ac:dyDescent="0.25">
      <c r="A413" s="6"/>
      <c r="O413" s="6"/>
    </row>
    <row r="414" spans="1:15" x14ac:dyDescent="0.25">
      <c r="A414" s="6"/>
      <c r="O414" s="6"/>
    </row>
    <row r="415" spans="1:15" x14ac:dyDescent="0.25">
      <c r="A415" s="6"/>
      <c r="O415" s="6"/>
    </row>
    <row r="416" spans="1:15" x14ac:dyDescent="0.25">
      <c r="A416" s="6"/>
      <c r="O416" s="6"/>
    </row>
    <row r="417" spans="1:15" x14ac:dyDescent="0.25">
      <c r="A417" s="6"/>
      <c r="O417" s="6"/>
    </row>
    <row r="418" spans="1:15" x14ac:dyDescent="0.25">
      <c r="A418" s="6"/>
      <c r="O418" s="6"/>
    </row>
    <row r="419" spans="1:15" x14ac:dyDescent="0.25">
      <c r="A419" s="6"/>
      <c r="O419" s="6"/>
    </row>
    <row r="420" spans="1:15" x14ac:dyDescent="0.25">
      <c r="A420" s="6"/>
      <c r="O420" s="6"/>
    </row>
    <row r="421" spans="1:15" x14ac:dyDescent="0.25">
      <c r="A421" s="6"/>
      <c r="O421" s="6"/>
    </row>
    <row r="422" spans="1:15" x14ac:dyDescent="0.25">
      <c r="A422" s="6"/>
      <c r="O422" s="6"/>
    </row>
    <row r="423" spans="1:15" x14ac:dyDescent="0.25">
      <c r="A423" s="6"/>
      <c r="O423" s="6"/>
    </row>
    <row r="424" spans="1:15" x14ac:dyDescent="0.25">
      <c r="A424" s="6"/>
      <c r="O424" s="6"/>
    </row>
    <row r="425" spans="1:15" x14ac:dyDescent="0.25">
      <c r="A425" s="6"/>
      <c r="O425" s="6"/>
    </row>
    <row r="426" spans="1:15" x14ac:dyDescent="0.25">
      <c r="A426" s="6"/>
      <c r="O426" s="6"/>
    </row>
    <row r="427" spans="1:15" x14ac:dyDescent="0.25">
      <c r="A427" s="6"/>
      <c r="O427" s="6"/>
    </row>
    <row r="428" spans="1:15" x14ac:dyDescent="0.25">
      <c r="A428" s="6"/>
      <c r="O428" s="6"/>
    </row>
    <row r="429" spans="1:15" x14ac:dyDescent="0.25">
      <c r="A429" s="6"/>
      <c r="O429" s="6"/>
    </row>
    <row r="430" spans="1:15" x14ac:dyDescent="0.25">
      <c r="A430" s="6"/>
      <c r="O430" s="6"/>
    </row>
    <row r="431" spans="1:15" x14ac:dyDescent="0.25">
      <c r="A431" s="6"/>
      <c r="O431" s="6"/>
    </row>
    <row r="432" spans="1:15" x14ac:dyDescent="0.25">
      <c r="A432" s="6"/>
      <c r="O432" s="6"/>
    </row>
    <row r="433" spans="1:15" x14ac:dyDescent="0.25">
      <c r="A433" s="6"/>
      <c r="O433" s="6"/>
    </row>
    <row r="434" spans="1:15" x14ac:dyDescent="0.25">
      <c r="A434" s="6"/>
      <c r="O434" s="6"/>
    </row>
    <row r="435" spans="1:15" x14ac:dyDescent="0.25">
      <c r="A435" s="6"/>
      <c r="O435" s="6"/>
    </row>
    <row r="436" spans="1:15" x14ac:dyDescent="0.25">
      <c r="A436" s="6"/>
      <c r="O436" s="6"/>
    </row>
    <row r="437" spans="1:15" x14ac:dyDescent="0.25">
      <c r="A437" s="6"/>
      <c r="O437" s="6"/>
    </row>
    <row r="438" spans="1:15" x14ac:dyDescent="0.25">
      <c r="A438" s="6"/>
      <c r="O438" s="6"/>
    </row>
    <row r="439" spans="1:15" x14ac:dyDescent="0.25">
      <c r="A439" s="6"/>
      <c r="O439" s="6"/>
    </row>
    <row r="440" spans="1:15" x14ac:dyDescent="0.25">
      <c r="A440" s="6"/>
      <c r="O440" s="6"/>
    </row>
    <row r="441" spans="1:15" x14ac:dyDescent="0.25">
      <c r="A441" s="6"/>
      <c r="O441" s="6"/>
    </row>
    <row r="442" spans="1:15" x14ac:dyDescent="0.25">
      <c r="A442" s="6"/>
      <c r="O442" s="6"/>
    </row>
    <row r="443" spans="1:15" x14ac:dyDescent="0.25">
      <c r="A443" s="6"/>
      <c r="O443" s="6"/>
    </row>
    <row r="444" spans="1:15" x14ac:dyDescent="0.25">
      <c r="A444" s="6"/>
      <c r="O444" s="6"/>
    </row>
    <row r="445" spans="1:15" x14ac:dyDescent="0.25">
      <c r="A445" s="6"/>
      <c r="O445" s="6"/>
    </row>
    <row r="446" spans="1:15" x14ac:dyDescent="0.25">
      <c r="A446" s="6"/>
      <c r="O446" s="6"/>
    </row>
    <row r="447" spans="1:15" x14ac:dyDescent="0.25">
      <c r="A447" s="6"/>
      <c r="O447" s="6"/>
    </row>
    <row r="448" spans="1:15" x14ac:dyDescent="0.25">
      <c r="A448" s="6"/>
      <c r="O448" s="6"/>
    </row>
    <row r="449" spans="1:15" x14ac:dyDescent="0.25">
      <c r="A449" s="6"/>
      <c r="O449" s="6"/>
    </row>
    <row r="450" spans="1:15" x14ac:dyDescent="0.25">
      <c r="A450" s="6"/>
      <c r="O450" s="6"/>
    </row>
    <row r="451" spans="1:15" x14ac:dyDescent="0.25">
      <c r="A451" s="6"/>
      <c r="O451" s="6"/>
    </row>
    <row r="452" spans="1:15" x14ac:dyDescent="0.25">
      <c r="A452" s="6"/>
      <c r="O452" s="6"/>
    </row>
    <row r="453" spans="1:15" x14ac:dyDescent="0.25">
      <c r="A453" s="6"/>
      <c r="O453" s="6"/>
    </row>
    <row r="454" spans="1:15" x14ac:dyDescent="0.25">
      <c r="A454" s="6"/>
      <c r="O454" s="6"/>
    </row>
    <row r="455" spans="1:15" x14ac:dyDescent="0.25">
      <c r="A455" s="6"/>
      <c r="O455" s="6"/>
    </row>
    <row r="456" spans="1:15" x14ac:dyDescent="0.25">
      <c r="A456" s="6"/>
      <c r="O456" s="6"/>
    </row>
    <row r="457" spans="1:15" x14ac:dyDescent="0.25">
      <c r="A457" s="6"/>
      <c r="O457" s="6"/>
    </row>
    <row r="458" spans="1:15" x14ac:dyDescent="0.25">
      <c r="A458" s="6"/>
      <c r="O458" s="6"/>
    </row>
    <row r="459" spans="1:15" x14ac:dyDescent="0.25">
      <c r="A459" s="6"/>
      <c r="O459" s="6"/>
    </row>
    <row r="460" spans="1:15" x14ac:dyDescent="0.25">
      <c r="A460" s="6"/>
      <c r="O460" s="6"/>
    </row>
    <row r="461" spans="1:15" x14ac:dyDescent="0.25">
      <c r="A461" s="6"/>
      <c r="O461" s="6"/>
    </row>
    <row r="462" spans="1:15" x14ac:dyDescent="0.25">
      <c r="A462" s="6"/>
      <c r="O462" s="6"/>
    </row>
    <row r="463" spans="1:15" x14ac:dyDescent="0.25">
      <c r="A463" s="6"/>
      <c r="O463" s="6"/>
    </row>
    <row r="464" spans="1:15" x14ac:dyDescent="0.25">
      <c r="A464" s="6"/>
      <c r="O464" s="6"/>
    </row>
    <row r="465" spans="1:15" x14ac:dyDescent="0.25">
      <c r="A465" s="6"/>
      <c r="O465" s="6"/>
    </row>
    <row r="466" spans="1:15" x14ac:dyDescent="0.25">
      <c r="A466" s="6"/>
      <c r="O466" s="6"/>
    </row>
    <row r="467" spans="1:15" x14ac:dyDescent="0.25">
      <c r="A467" s="6"/>
      <c r="O467" s="6"/>
    </row>
    <row r="468" spans="1:15" x14ac:dyDescent="0.25">
      <c r="A468" s="6"/>
      <c r="O468" s="6"/>
    </row>
    <row r="469" spans="1:15" x14ac:dyDescent="0.25">
      <c r="A469" s="6"/>
      <c r="O469" s="6"/>
    </row>
    <row r="470" spans="1:15" x14ac:dyDescent="0.25">
      <c r="A470" s="6"/>
      <c r="O470" s="6"/>
    </row>
    <row r="471" spans="1:15" x14ac:dyDescent="0.25">
      <c r="A471" s="6"/>
      <c r="O471" s="6"/>
    </row>
    <row r="472" spans="1:15" x14ac:dyDescent="0.25">
      <c r="A472" s="6"/>
      <c r="O472" s="6"/>
    </row>
    <row r="473" spans="1:15" x14ac:dyDescent="0.25">
      <c r="A473" s="6"/>
      <c r="O473" s="6"/>
    </row>
    <row r="474" spans="1:15" x14ac:dyDescent="0.25">
      <c r="A474" s="6"/>
      <c r="O474" s="6"/>
    </row>
    <row r="475" spans="1:15" x14ac:dyDescent="0.25">
      <c r="A475" s="6"/>
      <c r="O475" s="6"/>
    </row>
    <row r="476" spans="1:15" x14ac:dyDescent="0.25">
      <c r="A476" s="6"/>
      <c r="O476" s="6"/>
    </row>
    <row r="477" spans="1:15" x14ac:dyDescent="0.25">
      <c r="A477" s="6"/>
      <c r="O477" s="6"/>
    </row>
    <row r="478" spans="1:15" x14ac:dyDescent="0.25">
      <c r="A478" s="6"/>
      <c r="O478" s="6"/>
    </row>
    <row r="479" spans="1:15" x14ac:dyDescent="0.25">
      <c r="A479" s="6"/>
      <c r="O479" s="6"/>
    </row>
    <row r="480" spans="1:15" x14ac:dyDescent="0.25">
      <c r="A480" s="6"/>
      <c r="O480" s="6"/>
    </row>
    <row r="481" spans="1:15" x14ac:dyDescent="0.25">
      <c r="A481" s="6"/>
      <c r="O481" s="6"/>
    </row>
    <row r="482" spans="1:15" x14ac:dyDescent="0.25">
      <c r="A482" s="6"/>
      <c r="O482" s="6"/>
    </row>
    <row r="483" spans="1:15" x14ac:dyDescent="0.25">
      <c r="A483" s="6"/>
      <c r="O483" s="6"/>
    </row>
    <row r="484" spans="1:15" x14ac:dyDescent="0.25">
      <c r="A484" s="6"/>
      <c r="O484" s="6"/>
    </row>
    <row r="485" spans="1:15" x14ac:dyDescent="0.25">
      <c r="A485" s="6"/>
      <c r="O485" s="6"/>
    </row>
    <row r="486" spans="1:15" x14ac:dyDescent="0.25">
      <c r="A486" s="6"/>
      <c r="O486" s="6"/>
    </row>
    <row r="487" spans="1:15" x14ac:dyDescent="0.25">
      <c r="A487" s="6"/>
      <c r="O487" s="6"/>
    </row>
    <row r="488" spans="1:15" x14ac:dyDescent="0.25">
      <c r="A488" s="6"/>
      <c r="O488" s="6"/>
    </row>
    <row r="489" spans="1:15" x14ac:dyDescent="0.25">
      <c r="A489" s="6"/>
      <c r="O489" s="6"/>
    </row>
    <row r="490" spans="1:15" x14ac:dyDescent="0.25">
      <c r="A490" s="6"/>
      <c r="O490" s="6"/>
    </row>
    <row r="491" spans="1:15" x14ac:dyDescent="0.25">
      <c r="A491" s="6"/>
      <c r="O491" s="6"/>
    </row>
    <row r="492" spans="1:15" x14ac:dyDescent="0.25">
      <c r="A492" s="6"/>
      <c r="O492" s="6"/>
    </row>
    <row r="493" spans="1:15" x14ac:dyDescent="0.25">
      <c r="A493" s="6"/>
      <c r="O493" s="6"/>
    </row>
    <row r="494" spans="1:15" x14ac:dyDescent="0.25">
      <c r="A494" s="6"/>
      <c r="O494" s="6"/>
    </row>
    <row r="495" spans="1:15" x14ac:dyDescent="0.25">
      <c r="A495" s="6"/>
      <c r="O495" s="6"/>
    </row>
    <row r="496" spans="1:15" x14ac:dyDescent="0.25">
      <c r="A496" s="6"/>
      <c r="O496" s="6"/>
    </row>
    <row r="497" spans="1:15" x14ac:dyDescent="0.25">
      <c r="A497" s="6"/>
      <c r="O497" s="6"/>
    </row>
    <row r="498" spans="1:15" x14ac:dyDescent="0.25">
      <c r="A498" s="6"/>
      <c r="O498" s="6"/>
    </row>
    <row r="499" spans="1:15" x14ac:dyDescent="0.25">
      <c r="A499" s="6"/>
      <c r="O499" s="6"/>
    </row>
    <row r="500" spans="1:15" x14ac:dyDescent="0.25">
      <c r="A500" s="6"/>
      <c r="O500" s="6"/>
    </row>
    <row r="501" spans="1:15" x14ac:dyDescent="0.25">
      <c r="A501" s="6"/>
      <c r="O501" s="6"/>
    </row>
    <row r="502" spans="1:15" x14ac:dyDescent="0.25">
      <c r="A502" s="6"/>
      <c r="O502" s="6"/>
    </row>
    <row r="503" spans="1:15" x14ac:dyDescent="0.25">
      <c r="A503" s="6"/>
      <c r="O503" s="6"/>
    </row>
    <row r="504" spans="1:15" x14ac:dyDescent="0.25">
      <c r="A504" s="6"/>
      <c r="O504" s="6"/>
    </row>
    <row r="505" spans="1:15" x14ac:dyDescent="0.25">
      <c r="A505" s="6"/>
      <c r="O505" s="6"/>
    </row>
    <row r="506" spans="1:15" x14ac:dyDescent="0.25">
      <c r="A506" s="6"/>
      <c r="O506" s="6"/>
    </row>
    <row r="507" spans="1:15" x14ac:dyDescent="0.25">
      <c r="A507" s="6"/>
      <c r="O507" s="6"/>
    </row>
    <row r="508" spans="1:15" x14ac:dyDescent="0.25">
      <c r="A508" s="6"/>
      <c r="O508" s="6"/>
    </row>
    <row r="509" spans="1:15" x14ac:dyDescent="0.25">
      <c r="A509" s="6"/>
      <c r="O509" s="6"/>
    </row>
    <row r="510" spans="1:15" x14ac:dyDescent="0.25">
      <c r="A510" s="6"/>
      <c r="O510" s="6"/>
    </row>
    <row r="511" spans="1:15" x14ac:dyDescent="0.25">
      <c r="A511" s="6"/>
      <c r="O511" s="6"/>
    </row>
    <row r="512" spans="1:15" x14ac:dyDescent="0.25">
      <c r="A512" s="6"/>
      <c r="O512" s="6"/>
    </row>
    <row r="513" spans="1:15" x14ac:dyDescent="0.25">
      <c r="A513" s="6"/>
      <c r="O513" s="6"/>
    </row>
    <row r="514" spans="1:15" x14ac:dyDescent="0.25">
      <c r="A514" s="6"/>
      <c r="O514" s="6"/>
    </row>
    <row r="515" spans="1:15" x14ac:dyDescent="0.25">
      <c r="A515" s="6"/>
      <c r="O515" s="6"/>
    </row>
    <row r="516" spans="1:15" x14ac:dyDescent="0.25">
      <c r="A516" s="6"/>
      <c r="O516" s="6"/>
    </row>
    <row r="517" spans="1:15" x14ac:dyDescent="0.25">
      <c r="A517" s="6"/>
      <c r="O517" s="6"/>
    </row>
    <row r="518" spans="1:15" x14ac:dyDescent="0.25">
      <c r="A518" s="6"/>
      <c r="O518" s="6"/>
    </row>
    <row r="519" spans="1:15" x14ac:dyDescent="0.25">
      <c r="A519" s="6"/>
      <c r="O519" s="6"/>
    </row>
    <row r="520" spans="1:15" x14ac:dyDescent="0.25">
      <c r="A520" s="6"/>
      <c r="O520" s="6"/>
    </row>
    <row r="521" spans="1:15" x14ac:dyDescent="0.25">
      <c r="A521" s="6"/>
      <c r="O521" s="6"/>
    </row>
    <row r="522" spans="1:15" x14ac:dyDescent="0.25">
      <c r="A522" s="6"/>
      <c r="O522" s="6"/>
    </row>
    <row r="523" spans="1:15" x14ac:dyDescent="0.25">
      <c r="A523" s="6"/>
      <c r="O523" s="6"/>
    </row>
    <row r="524" spans="1:15" x14ac:dyDescent="0.25">
      <c r="A524" s="6"/>
      <c r="O524" s="6"/>
    </row>
    <row r="525" spans="1:15" x14ac:dyDescent="0.25">
      <c r="A525" s="6"/>
      <c r="O525" s="6"/>
    </row>
    <row r="526" spans="1:15" x14ac:dyDescent="0.25">
      <c r="A526" s="6"/>
      <c r="O526" s="6"/>
    </row>
    <row r="527" spans="1:15" x14ac:dyDescent="0.25">
      <c r="A527" s="6"/>
      <c r="O527" s="6"/>
    </row>
    <row r="528" spans="1:15" x14ac:dyDescent="0.25">
      <c r="A528" s="6"/>
      <c r="O528" s="6"/>
    </row>
    <row r="529" spans="1:15" x14ac:dyDescent="0.25">
      <c r="A529" s="6"/>
      <c r="O529" s="6"/>
    </row>
    <row r="530" spans="1:15" x14ac:dyDescent="0.25">
      <c r="A530" s="6"/>
      <c r="O530" s="6"/>
    </row>
    <row r="531" spans="1:15" x14ac:dyDescent="0.25">
      <c r="A531" s="6"/>
      <c r="O531" s="6"/>
    </row>
    <row r="532" spans="1:15" x14ac:dyDescent="0.25">
      <c r="A532" s="6"/>
      <c r="O532" s="6"/>
    </row>
    <row r="533" spans="1:15" x14ac:dyDescent="0.25">
      <c r="A533" s="6"/>
      <c r="O533" s="6"/>
    </row>
    <row r="534" spans="1:15" x14ac:dyDescent="0.25">
      <c r="A534" s="6"/>
      <c r="O534" s="6"/>
    </row>
    <row r="535" spans="1:15" x14ac:dyDescent="0.25">
      <c r="A535" s="6"/>
      <c r="O535" s="6"/>
    </row>
    <row r="536" spans="1:15" x14ac:dyDescent="0.25">
      <c r="A536" s="6"/>
      <c r="O536" s="6"/>
    </row>
    <row r="537" spans="1:15" x14ac:dyDescent="0.25">
      <c r="A537" s="6"/>
      <c r="O537" s="6"/>
    </row>
    <row r="538" spans="1:15" x14ac:dyDescent="0.25">
      <c r="A538" s="6"/>
      <c r="O538" s="6"/>
    </row>
    <row r="539" spans="1:15" x14ac:dyDescent="0.25">
      <c r="A539" s="6"/>
      <c r="O539" s="6"/>
    </row>
    <row r="540" spans="1:15" x14ac:dyDescent="0.25">
      <c r="A540" s="6"/>
      <c r="O540" s="6"/>
    </row>
    <row r="541" spans="1:15" x14ac:dyDescent="0.25">
      <c r="A541" s="6"/>
      <c r="O541" s="6"/>
    </row>
    <row r="542" spans="1:15" x14ac:dyDescent="0.25">
      <c r="A542" s="6"/>
      <c r="O542" s="6"/>
    </row>
    <row r="543" spans="1:15" x14ac:dyDescent="0.25">
      <c r="A543" s="6"/>
      <c r="O543" s="6"/>
    </row>
    <row r="544" spans="1:15" x14ac:dyDescent="0.25">
      <c r="A544" s="6"/>
      <c r="O544" s="6"/>
    </row>
    <row r="545" spans="1:15" x14ac:dyDescent="0.25">
      <c r="A545" s="6"/>
      <c r="O545" s="6"/>
    </row>
    <row r="546" spans="1:15" x14ac:dyDescent="0.25">
      <c r="A546" s="6"/>
      <c r="O546" s="6"/>
    </row>
    <row r="547" spans="1:15" x14ac:dyDescent="0.25">
      <c r="A547" s="6"/>
      <c r="O547" s="6"/>
    </row>
    <row r="548" spans="1:15" x14ac:dyDescent="0.25">
      <c r="A548" s="6"/>
      <c r="O548" s="6"/>
    </row>
    <row r="549" spans="1:15" x14ac:dyDescent="0.25">
      <c r="A549" s="6"/>
      <c r="O549" s="6"/>
    </row>
    <row r="550" spans="1:15" x14ac:dyDescent="0.25">
      <c r="A550" s="6"/>
      <c r="O550" s="6"/>
    </row>
    <row r="551" spans="1:15" x14ac:dyDescent="0.25">
      <c r="A551" s="6"/>
      <c r="O551" s="6"/>
    </row>
    <row r="552" spans="1:15" x14ac:dyDescent="0.25">
      <c r="A552" s="6"/>
      <c r="O552" s="6"/>
    </row>
    <row r="553" spans="1:15" x14ac:dyDescent="0.25">
      <c r="A553" s="6"/>
      <c r="O553" s="6"/>
    </row>
    <row r="554" spans="1:15" x14ac:dyDescent="0.25">
      <c r="A554" s="6"/>
      <c r="O554" s="6"/>
    </row>
    <row r="555" spans="1:15" x14ac:dyDescent="0.25">
      <c r="A555" s="6"/>
      <c r="O555" s="6"/>
    </row>
    <row r="556" spans="1:15" x14ac:dyDescent="0.25">
      <c r="A556" s="6"/>
      <c r="O556" s="6"/>
    </row>
    <row r="557" spans="1:15" x14ac:dyDescent="0.25">
      <c r="A557" s="6"/>
      <c r="O557" s="6"/>
    </row>
    <row r="558" spans="1:15" x14ac:dyDescent="0.25">
      <c r="A558" s="6"/>
      <c r="O558" s="6"/>
    </row>
    <row r="559" spans="1:15" x14ac:dyDescent="0.25">
      <c r="A559" s="6"/>
      <c r="O559" s="6"/>
    </row>
    <row r="560" spans="1:15" x14ac:dyDescent="0.25">
      <c r="A560" s="6"/>
      <c r="O560" s="6"/>
    </row>
    <row r="561" spans="1:15" x14ac:dyDescent="0.25">
      <c r="A561" s="6"/>
      <c r="O561" s="6"/>
    </row>
    <row r="562" spans="1:15" x14ac:dyDescent="0.25">
      <c r="A562" s="6"/>
      <c r="O562" s="6"/>
    </row>
    <row r="563" spans="1:15" x14ac:dyDescent="0.25">
      <c r="A563" s="6"/>
      <c r="O563" s="6"/>
    </row>
    <row r="564" spans="1:15" x14ac:dyDescent="0.25">
      <c r="A564" s="6"/>
      <c r="O564" s="6"/>
    </row>
    <row r="565" spans="1:15" x14ac:dyDescent="0.25">
      <c r="A565" s="6"/>
      <c r="O565" s="6"/>
    </row>
    <row r="566" spans="1:15" x14ac:dyDescent="0.25">
      <c r="A566" s="6"/>
      <c r="O566" s="6"/>
    </row>
    <row r="567" spans="1:15" x14ac:dyDescent="0.25">
      <c r="A567" s="6"/>
      <c r="O567" s="6"/>
    </row>
    <row r="568" spans="1:15" x14ac:dyDescent="0.25">
      <c r="A568" s="6"/>
      <c r="O568" s="6"/>
    </row>
    <row r="569" spans="1:15" x14ac:dyDescent="0.25">
      <c r="A569" s="6"/>
      <c r="O569" s="6"/>
    </row>
    <row r="570" spans="1:15" x14ac:dyDescent="0.25">
      <c r="A570" s="6"/>
      <c r="O570" s="6"/>
    </row>
    <row r="571" spans="1:15" x14ac:dyDescent="0.25">
      <c r="A571" s="6"/>
      <c r="O571" s="6"/>
    </row>
    <row r="572" spans="1:15" x14ac:dyDescent="0.25">
      <c r="A572" s="6"/>
      <c r="O572" s="6"/>
    </row>
    <row r="573" spans="1:15" x14ac:dyDescent="0.25">
      <c r="A573" s="6"/>
      <c r="O573" s="6"/>
    </row>
    <row r="574" spans="1:15" x14ac:dyDescent="0.25">
      <c r="A574" s="6"/>
      <c r="O574" s="6"/>
    </row>
    <row r="575" spans="1:15" x14ac:dyDescent="0.25">
      <c r="A575" s="6"/>
      <c r="O575" s="6"/>
    </row>
    <row r="576" spans="1:15" x14ac:dyDescent="0.25">
      <c r="A576" s="6"/>
      <c r="O576" s="6"/>
    </row>
    <row r="577" spans="1:15" x14ac:dyDescent="0.25">
      <c r="A577" s="6"/>
      <c r="O577" s="6"/>
    </row>
    <row r="578" spans="1:15" x14ac:dyDescent="0.25">
      <c r="A578" s="6"/>
      <c r="O578" s="6"/>
    </row>
    <row r="579" spans="1:15" x14ac:dyDescent="0.25">
      <c r="A579" s="6"/>
      <c r="O579" s="6"/>
    </row>
    <row r="580" spans="1:15" x14ac:dyDescent="0.25">
      <c r="A580" s="6"/>
      <c r="O580" s="6"/>
    </row>
    <row r="581" spans="1:15" x14ac:dyDescent="0.25">
      <c r="A581" s="6"/>
      <c r="O581" s="6"/>
    </row>
    <row r="582" spans="1:15" x14ac:dyDescent="0.25">
      <c r="A582" s="6"/>
      <c r="O582" s="6"/>
    </row>
    <row r="583" spans="1:15" x14ac:dyDescent="0.25">
      <c r="A583" s="6"/>
      <c r="O583" s="6"/>
    </row>
    <row r="584" spans="1:15" x14ac:dyDescent="0.25">
      <c r="A584" s="6"/>
      <c r="O584" s="6"/>
    </row>
    <row r="585" spans="1:15" x14ac:dyDescent="0.25">
      <c r="A585" s="6"/>
      <c r="O585" s="6"/>
    </row>
    <row r="586" spans="1:15" x14ac:dyDescent="0.25">
      <c r="A586" s="6"/>
      <c r="O586" s="6"/>
    </row>
    <row r="587" spans="1:15" x14ac:dyDescent="0.25">
      <c r="A587" s="6"/>
      <c r="O587" s="6"/>
    </row>
    <row r="588" spans="1:15" x14ac:dyDescent="0.25">
      <c r="A588" s="6"/>
      <c r="O588" s="6"/>
    </row>
    <row r="589" spans="1:15" x14ac:dyDescent="0.25">
      <c r="A589" s="6"/>
      <c r="O589" s="6"/>
    </row>
    <row r="590" spans="1:15" x14ac:dyDescent="0.25">
      <c r="A590" s="6"/>
      <c r="O590" s="6"/>
    </row>
    <row r="591" spans="1:15" x14ac:dyDescent="0.25">
      <c r="A591" s="6"/>
      <c r="O591" s="6"/>
    </row>
    <row r="592" spans="1:15" x14ac:dyDescent="0.25">
      <c r="A592" s="6"/>
      <c r="O592" s="6"/>
    </row>
    <row r="593" spans="1:15" x14ac:dyDescent="0.25">
      <c r="A593" s="6"/>
      <c r="O593" s="6"/>
    </row>
    <row r="594" spans="1:15" x14ac:dyDescent="0.25">
      <c r="A594" s="6"/>
      <c r="O594" s="6"/>
    </row>
    <row r="595" spans="1:15" x14ac:dyDescent="0.25">
      <c r="A595" s="6"/>
      <c r="O595" s="6"/>
    </row>
    <row r="596" spans="1:15" x14ac:dyDescent="0.25">
      <c r="A596" s="6"/>
      <c r="O596" s="6"/>
    </row>
    <row r="597" spans="1:15" x14ac:dyDescent="0.25">
      <c r="A597" s="6"/>
      <c r="O597" s="6"/>
    </row>
    <row r="598" spans="1:15" x14ac:dyDescent="0.25">
      <c r="A598" s="6"/>
      <c r="O598" s="6"/>
    </row>
    <row r="599" spans="1:15" x14ac:dyDescent="0.25">
      <c r="A599" s="6"/>
      <c r="O599" s="6"/>
    </row>
    <row r="600" spans="1:15" x14ac:dyDescent="0.25">
      <c r="A600" s="6"/>
      <c r="O600" s="6"/>
    </row>
    <row r="601" spans="1:15" x14ac:dyDescent="0.25">
      <c r="A601" s="6"/>
      <c r="O601" s="6"/>
    </row>
    <row r="602" spans="1:15" x14ac:dyDescent="0.25">
      <c r="A602" s="6"/>
      <c r="O602" s="6"/>
    </row>
    <row r="603" spans="1:15" x14ac:dyDescent="0.25">
      <c r="A603" s="6"/>
      <c r="O603" s="6"/>
    </row>
    <row r="604" spans="1:15" x14ac:dyDescent="0.25">
      <c r="A604" s="6"/>
      <c r="O604" s="6"/>
    </row>
    <row r="605" spans="1:15" x14ac:dyDescent="0.25">
      <c r="A605" s="6"/>
      <c r="O605" s="6"/>
    </row>
    <row r="606" spans="1:15" x14ac:dyDescent="0.25">
      <c r="A606" s="6"/>
      <c r="O606" s="6"/>
    </row>
    <row r="607" spans="1:15" x14ac:dyDescent="0.25">
      <c r="A607" s="6"/>
      <c r="O607" s="6"/>
    </row>
    <row r="608" spans="1:15" x14ac:dyDescent="0.25">
      <c r="A608" s="6"/>
      <c r="O608" s="6"/>
    </row>
    <row r="609" spans="1:15" x14ac:dyDescent="0.25">
      <c r="A609" s="6"/>
      <c r="O609" s="6"/>
    </row>
    <row r="610" spans="1:15" x14ac:dyDescent="0.25">
      <c r="A610" s="6"/>
      <c r="O610" s="6"/>
    </row>
    <row r="611" spans="1:15" x14ac:dyDescent="0.25">
      <c r="A611" s="6"/>
      <c r="O611" s="6"/>
    </row>
    <row r="612" spans="1:15" x14ac:dyDescent="0.25">
      <c r="A612" s="6"/>
      <c r="O612" s="6"/>
    </row>
    <row r="613" spans="1:15" x14ac:dyDescent="0.25">
      <c r="A613" s="6"/>
      <c r="O613" s="6"/>
    </row>
    <row r="614" spans="1:15" x14ac:dyDescent="0.25">
      <c r="A614" s="6"/>
      <c r="O614" s="6"/>
    </row>
    <row r="615" spans="1:15" x14ac:dyDescent="0.25">
      <c r="A615" s="6"/>
      <c r="O615" s="6"/>
    </row>
    <row r="616" spans="1:15" x14ac:dyDescent="0.25">
      <c r="A616" s="6"/>
      <c r="O616" s="6"/>
    </row>
    <row r="617" spans="1:15" x14ac:dyDescent="0.25">
      <c r="A617" s="6"/>
      <c r="O617" s="6"/>
    </row>
    <row r="618" spans="1:15" x14ac:dyDescent="0.25">
      <c r="A618" s="6"/>
      <c r="O618" s="6"/>
    </row>
    <row r="619" spans="1:15" x14ac:dyDescent="0.25">
      <c r="A619" s="6"/>
      <c r="O619" s="6"/>
    </row>
    <row r="620" spans="1:15" x14ac:dyDescent="0.25">
      <c r="A620" s="6"/>
      <c r="O620" s="6"/>
    </row>
    <row r="621" spans="1:15" x14ac:dyDescent="0.25">
      <c r="A621" s="6"/>
      <c r="O621" s="6"/>
    </row>
    <row r="622" spans="1:15" x14ac:dyDescent="0.25">
      <c r="A622" s="6"/>
      <c r="O622" s="6"/>
    </row>
    <row r="623" spans="1:15" x14ac:dyDescent="0.25">
      <c r="A623" s="6"/>
      <c r="O623" s="6"/>
    </row>
    <row r="624" spans="1:15" x14ac:dyDescent="0.25">
      <c r="A624" s="6"/>
      <c r="O624" s="6"/>
    </row>
    <row r="625" spans="1:15" x14ac:dyDescent="0.25">
      <c r="A625" s="6"/>
      <c r="O625" s="6"/>
    </row>
    <row r="626" spans="1:15" x14ac:dyDescent="0.25">
      <c r="A626" s="6"/>
      <c r="O626" s="6"/>
    </row>
    <row r="627" spans="1:15" x14ac:dyDescent="0.25">
      <c r="A627" s="6"/>
      <c r="O627" s="6"/>
    </row>
    <row r="628" spans="1:15" x14ac:dyDescent="0.25">
      <c r="A628" s="6"/>
      <c r="O628" s="6"/>
    </row>
    <row r="629" spans="1:15" x14ac:dyDescent="0.25">
      <c r="A629" s="6"/>
      <c r="O629" s="6"/>
    </row>
    <row r="630" spans="1:15" x14ac:dyDescent="0.25">
      <c r="A630" s="6"/>
      <c r="O630" s="6"/>
    </row>
    <row r="631" spans="1:15" x14ac:dyDescent="0.25">
      <c r="A631" s="6"/>
      <c r="O631" s="6"/>
    </row>
    <row r="632" spans="1:15" x14ac:dyDescent="0.25">
      <c r="A632" s="6"/>
      <c r="O632" s="6"/>
    </row>
    <row r="633" spans="1:15" x14ac:dyDescent="0.25">
      <c r="A633" s="6"/>
      <c r="O633" s="6"/>
    </row>
    <row r="634" spans="1:15" x14ac:dyDescent="0.25">
      <c r="A634" s="6"/>
      <c r="O634" s="6"/>
    </row>
    <row r="635" spans="1:15" x14ac:dyDescent="0.25">
      <c r="A635" s="6"/>
      <c r="O635" s="6"/>
    </row>
    <row r="636" spans="1:15" x14ac:dyDescent="0.25">
      <c r="A636" s="6"/>
      <c r="O636" s="6"/>
    </row>
    <row r="637" spans="1:15" x14ac:dyDescent="0.25">
      <c r="A637" s="6"/>
      <c r="O637" s="6"/>
    </row>
    <row r="638" spans="1:15" x14ac:dyDescent="0.25">
      <c r="A638" s="6"/>
      <c r="O638" s="6"/>
    </row>
    <row r="639" spans="1:15" x14ac:dyDescent="0.25">
      <c r="A639" s="6"/>
      <c r="O639" s="6"/>
    </row>
    <row r="640" spans="1:15" x14ac:dyDescent="0.25">
      <c r="A640" s="6"/>
      <c r="O640" s="6"/>
    </row>
    <row r="641" spans="1:15" x14ac:dyDescent="0.25">
      <c r="A641" s="6"/>
      <c r="O641" s="6"/>
    </row>
    <row r="642" spans="1:15" x14ac:dyDescent="0.25">
      <c r="A642" s="6"/>
      <c r="O642" s="6"/>
    </row>
    <row r="643" spans="1:15" x14ac:dyDescent="0.25">
      <c r="A643" s="6"/>
      <c r="O643" s="6"/>
    </row>
    <row r="644" spans="1:15" x14ac:dyDescent="0.25">
      <c r="A644" s="6"/>
      <c r="O644" s="6"/>
    </row>
    <row r="645" spans="1:15" x14ac:dyDescent="0.25">
      <c r="A645" s="6"/>
      <c r="O645" s="6"/>
    </row>
    <row r="646" spans="1:15" x14ac:dyDescent="0.25">
      <c r="A646" s="6"/>
      <c r="O646" s="6"/>
    </row>
    <row r="647" spans="1:15" x14ac:dyDescent="0.25">
      <c r="A647" s="6"/>
      <c r="O647" s="6"/>
    </row>
    <row r="648" spans="1:15" x14ac:dyDescent="0.25">
      <c r="A648" s="6"/>
      <c r="O648" s="6"/>
    </row>
    <row r="649" spans="1:15" x14ac:dyDescent="0.25">
      <c r="A649" s="6"/>
      <c r="O649" s="6"/>
    </row>
    <row r="650" spans="1:15" x14ac:dyDescent="0.25">
      <c r="A650" s="6"/>
      <c r="O650" s="6"/>
    </row>
    <row r="651" spans="1:15" x14ac:dyDescent="0.25">
      <c r="A651" s="6"/>
      <c r="O651" s="6"/>
    </row>
    <row r="652" spans="1:15" x14ac:dyDescent="0.25">
      <c r="A652" s="6"/>
      <c r="O652" s="6"/>
    </row>
    <row r="653" spans="1:15" x14ac:dyDescent="0.25">
      <c r="A653" s="6"/>
      <c r="O653" s="6"/>
    </row>
    <row r="654" spans="1:15" x14ac:dyDescent="0.25">
      <c r="A654" s="6"/>
      <c r="O654" s="6"/>
    </row>
    <row r="655" spans="1:15" x14ac:dyDescent="0.25">
      <c r="A655" s="6"/>
      <c r="O655" s="6"/>
    </row>
    <row r="656" spans="1:15" x14ac:dyDescent="0.25">
      <c r="A656" s="6"/>
      <c r="O656" s="6"/>
    </row>
    <row r="657" spans="1:15" x14ac:dyDescent="0.25">
      <c r="A657" s="6"/>
      <c r="O657" s="6"/>
    </row>
    <row r="658" spans="1:15" x14ac:dyDescent="0.25">
      <c r="A658" s="6"/>
      <c r="O658" s="6"/>
    </row>
    <row r="659" spans="1:15" x14ac:dyDescent="0.25">
      <c r="A659" s="6"/>
      <c r="O659" s="6"/>
    </row>
    <row r="660" spans="1:15" x14ac:dyDescent="0.25">
      <c r="A660" s="6"/>
      <c r="O660" s="6"/>
    </row>
    <row r="661" spans="1:15" x14ac:dyDescent="0.25">
      <c r="A661" s="6"/>
      <c r="O661" s="6"/>
    </row>
    <row r="662" spans="1:15" x14ac:dyDescent="0.25">
      <c r="A662" s="6"/>
      <c r="O662" s="6"/>
    </row>
    <row r="663" spans="1:15" x14ac:dyDescent="0.25">
      <c r="A663" s="6"/>
      <c r="O663" s="6"/>
    </row>
    <row r="664" spans="1:15" x14ac:dyDescent="0.25">
      <c r="A664" s="6"/>
      <c r="O664" s="6"/>
    </row>
    <row r="665" spans="1:15" x14ac:dyDescent="0.25">
      <c r="A665" s="6"/>
      <c r="O665" s="6"/>
    </row>
    <row r="666" spans="1:15" x14ac:dyDescent="0.25">
      <c r="A666" s="6"/>
      <c r="O666" s="6"/>
    </row>
    <row r="667" spans="1:15" x14ac:dyDescent="0.25">
      <c r="A667" s="6"/>
      <c r="O667" s="6"/>
    </row>
    <row r="668" spans="1:15" x14ac:dyDescent="0.25">
      <c r="A668" s="6"/>
      <c r="O668" s="6"/>
    </row>
    <row r="669" spans="1:15" x14ac:dyDescent="0.25">
      <c r="A669" s="6"/>
      <c r="O669" s="6"/>
    </row>
    <row r="670" spans="1:15" x14ac:dyDescent="0.25">
      <c r="A670" s="6"/>
      <c r="O670" s="6"/>
    </row>
    <row r="671" spans="1:15" x14ac:dyDescent="0.25">
      <c r="A671" s="6"/>
      <c r="O671" s="6"/>
    </row>
    <row r="672" spans="1:15" x14ac:dyDescent="0.25">
      <c r="A672" s="6"/>
      <c r="O672" s="6"/>
    </row>
    <row r="673" spans="1:15" x14ac:dyDescent="0.25">
      <c r="A673" s="6"/>
      <c r="O673" s="6"/>
    </row>
    <row r="674" spans="1:15" x14ac:dyDescent="0.25">
      <c r="A674" s="6"/>
      <c r="O674" s="6"/>
    </row>
    <row r="675" spans="1:15" x14ac:dyDescent="0.25">
      <c r="A675" s="6"/>
      <c r="O675" s="6"/>
    </row>
    <row r="676" spans="1:15" x14ac:dyDescent="0.25">
      <c r="A676" s="6"/>
      <c r="O676" s="6"/>
    </row>
    <row r="677" spans="1:15" x14ac:dyDescent="0.25">
      <c r="A677" s="6"/>
      <c r="O677" s="6"/>
    </row>
    <row r="678" spans="1:15" x14ac:dyDescent="0.25">
      <c r="A678" s="6"/>
      <c r="O678" s="6"/>
    </row>
    <row r="679" spans="1:15" x14ac:dyDescent="0.25">
      <c r="A679" s="6"/>
      <c r="O679" s="6"/>
    </row>
    <row r="680" spans="1:15" x14ac:dyDescent="0.25">
      <c r="A680" s="6"/>
      <c r="O680" s="6"/>
    </row>
    <row r="681" spans="1:15" x14ac:dyDescent="0.25">
      <c r="A681" s="6"/>
      <c r="O681" s="6"/>
    </row>
    <row r="682" spans="1:15" x14ac:dyDescent="0.25">
      <c r="A682" s="6"/>
      <c r="O682" s="6"/>
    </row>
    <row r="683" spans="1:15" x14ac:dyDescent="0.25">
      <c r="A683" s="6"/>
      <c r="O683" s="6"/>
    </row>
    <row r="684" spans="1:15" x14ac:dyDescent="0.25">
      <c r="A684" s="6"/>
      <c r="O684" s="6"/>
    </row>
    <row r="685" spans="1:15" x14ac:dyDescent="0.25">
      <c r="A685" s="6"/>
      <c r="O685" s="6"/>
    </row>
    <row r="686" spans="1:15" x14ac:dyDescent="0.25">
      <c r="A686" s="6"/>
      <c r="O686" s="6"/>
    </row>
    <row r="687" spans="1:15" x14ac:dyDescent="0.25">
      <c r="A687" s="6"/>
      <c r="O687" s="6"/>
    </row>
    <row r="688" spans="1:15" x14ac:dyDescent="0.25">
      <c r="A688" s="6"/>
      <c r="O688" s="6"/>
    </row>
    <row r="689" spans="1:15" x14ac:dyDescent="0.25">
      <c r="A689" s="6"/>
      <c r="O689" s="6"/>
    </row>
    <row r="690" spans="1:15" x14ac:dyDescent="0.25">
      <c r="A690" s="6"/>
      <c r="O690" s="6"/>
    </row>
    <row r="691" spans="1:15" x14ac:dyDescent="0.25">
      <c r="A691" s="6"/>
      <c r="O691" s="6"/>
    </row>
    <row r="692" spans="1:15" x14ac:dyDescent="0.25">
      <c r="A692" s="6"/>
      <c r="O692" s="6"/>
    </row>
    <row r="693" spans="1:15" x14ac:dyDescent="0.25">
      <c r="A693" s="6"/>
      <c r="O693" s="6"/>
    </row>
    <row r="694" spans="1:15" x14ac:dyDescent="0.25">
      <c r="A694" s="6"/>
      <c r="O694" s="6"/>
    </row>
    <row r="695" spans="1:15" x14ac:dyDescent="0.25">
      <c r="A695" s="6"/>
      <c r="O695" s="6"/>
    </row>
    <row r="696" spans="1:15" x14ac:dyDescent="0.25">
      <c r="A696" s="6"/>
      <c r="O696" s="6"/>
    </row>
    <row r="697" spans="1:15" x14ac:dyDescent="0.25">
      <c r="A697" s="6"/>
      <c r="O697" s="6"/>
    </row>
    <row r="698" spans="1:15" x14ac:dyDescent="0.25">
      <c r="A698" s="6"/>
      <c r="O698" s="6"/>
    </row>
    <row r="699" spans="1:15" x14ac:dyDescent="0.25">
      <c r="A699" s="6"/>
      <c r="O699" s="6"/>
    </row>
    <row r="700" spans="1:15" x14ac:dyDescent="0.25">
      <c r="A700" s="6"/>
      <c r="O700" s="6"/>
    </row>
    <row r="701" spans="1:15" x14ac:dyDescent="0.25">
      <c r="A701" s="6"/>
      <c r="O701" s="6"/>
    </row>
    <row r="702" spans="1:15" x14ac:dyDescent="0.25">
      <c r="A702" s="6"/>
      <c r="O702" s="6"/>
    </row>
    <row r="703" spans="1:15" x14ac:dyDescent="0.25">
      <c r="A703" s="6"/>
      <c r="O703" s="6"/>
    </row>
    <row r="704" spans="1:15" x14ac:dyDescent="0.25">
      <c r="A704" s="6"/>
      <c r="O704" s="6"/>
    </row>
    <row r="705" spans="1:15" x14ac:dyDescent="0.25">
      <c r="A705" s="6"/>
      <c r="O705" s="6"/>
    </row>
    <row r="706" spans="1:15" x14ac:dyDescent="0.25">
      <c r="A706" s="6"/>
      <c r="O706" s="6"/>
    </row>
    <row r="707" spans="1:15" x14ac:dyDescent="0.25">
      <c r="A707" s="6"/>
      <c r="O707" s="6"/>
    </row>
    <row r="708" spans="1:15" x14ac:dyDescent="0.25">
      <c r="A708" s="6"/>
      <c r="O708" s="6"/>
    </row>
    <row r="709" spans="1:15" x14ac:dyDescent="0.25">
      <c r="A709" s="6"/>
      <c r="O709" s="6"/>
    </row>
    <row r="710" spans="1:15" x14ac:dyDescent="0.25">
      <c r="A710" s="6"/>
      <c r="O710" s="6"/>
    </row>
    <row r="711" spans="1:15" x14ac:dyDescent="0.25">
      <c r="A711" s="6"/>
      <c r="O711" s="6"/>
    </row>
    <row r="712" spans="1:15" x14ac:dyDescent="0.25">
      <c r="A712" s="6"/>
      <c r="O712" s="6"/>
    </row>
    <row r="713" spans="1:15" x14ac:dyDescent="0.25">
      <c r="A713" s="6"/>
      <c r="O713" s="6"/>
    </row>
    <row r="714" spans="1:15" x14ac:dyDescent="0.25">
      <c r="A714" s="6"/>
      <c r="O714" s="6"/>
    </row>
    <row r="715" spans="1:15" x14ac:dyDescent="0.25">
      <c r="A715" s="6"/>
      <c r="O715" s="6"/>
    </row>
    <row r="716" spans="1:15" x14ac:dyDescent="0.25">
      <c r="A716" s="6"/>
      <c r="O716" s="6"/>
    </row>
    <row r="717" spans="1:15" x14ac:dyDescent="0.25">
      <c r="A717" s="6"/>
      <c r="O717" s="6"/>
    </row>
    <row r="718" spans="1:15" x14ac:dyDescent="0.25">
      <c r="A718" s="6"/>
      <c r="O718" s="6"/>
    </row>
    <row r="719" spans="1:15" x14ac:dyDescent="0.25">
      <c r="A719" s="6"/>
      <c r="O719" s="6"/>
    </row>
    <row r="720" spans="1:15" x14ac:dyDescent="0.25">
      <c r="A720" s="6"/>
      <c r="O720" s="6"/>
    </row>
    <row r="721" spans="1:15" x14ac:dyDescent="0.25">
      <c r="A721" s="6"/>
      <c r="O721" s="6"/>
    </row>
    <row r="722" spans="1:15" x14ac:dyDescent="0.25">
      <c r="A722" s="6"/>
      <c r="O722" s="6"/>
    </row>
    <row r="723" spans="1:15" x14ac:dyDescent="0.25">
      <c r="A723" s="6"/>
      <c r="O723" s="6"/>
    </row>
    <row r="724" spans="1:15" x14ac:dyDescent="0.25">
      <c r="A724" s="6"/>
      <c r="O724" s="6"/>
    </row>
    <row r="725" spans="1:15" x14ac:dyDescent="0.25">
      <c r="A725" s="6"/>
      <c r="O725" s="6"/>
    </row>
    <row r="726" spans="1:15" x14ac:dyDescent="0.25">
      <c r="A726" s="6"/>
      <c r="O726" s="6"/>
    </row>
    <row r="727" spans="1:15" x14ac:dyDescent="0.25">
      <c r="A727" s="6"/>
      <c r="O727" s="6"/>
    </row>
    <row r="728" spans="1:15" x14ac:dyDescent="0.25">
      <c r="A728" s="6"/>
      <c r="O728" s="6"/>
    </row>
    <row r="729" spans="1:15" x14ac:dyDescent="0.25">
      <c r="A729" s="6"/>
      <c r="O729" s="6"/>
    </row>
    <row r="730" spans="1:15" x14ac:dyDescent="0.25">
      <c r="A730" s="6"/>
      <c r="O730" s="6"/>
    </row>
    <row r="731" spans="1:15" x14ac:dyDescent="0.25">
      <c r="A731" s="6"/>
      <c r="O731" s="6"/>
    </row>
    <row r="732" spans="1:15" x14ac:dyDescent="0.25">
      <c r="A732" s="6"/>
      <c r="O732" s="6"/>
    </row>
    <row r="733" spans="1:15" x14ac:dyDescent="0.25">
      <c r="A733" s="6"/>
      <c r="O733" s="6"/>
    </row>
    <row r="734" spans="1:15" x14ac:dyDescent="0.25">
      <c r="A734" s="6"/>
      <c r="O734" s="6"/>
    </row>
    <row r="735" spans="1:15" x14ac:dyDescent="0.25">
      <c r="A735" s="6"/>
      <c r="O735" s="6"/>
    </row>
    <row r="736" spans="1:15" x14ac:dyDescent="0.25">
      <c r="A736" s="6"/>
      <c r="O736" s="6"/>
    </row>
    <row r="737" spans="1:15" x14ac:dyDescent="0.25">
      <c r="A737" s="6"/>
      <c r="O737" s="6"/>
    </row>
    <row r="738" spans="1:15" x14ac:dyDescent="0.25">
      <c r="A738" s="6"/>
      <c r="O738" s="6"/>
    </row>
    <row r="739" spans="1:15" x14ac:dyDescent="0.25">
      <c r="A739" s="6"/>
      <c r="O739" s="6"/>
    </row>
    <row r="740" spans="1:15" x14ac:dyDescent="0.25">
      <c r="A740" s="6"/>
      <c r="O740" s="6"/>
    </row>
    <row r="741" spans="1:15" x14ac:dyDescent="0.25">
      <c r="A741" s="6"/>
      <c r="O741" s="6"/>
    </row>
    <row r="742" spans="1:15" x14ac:dyDescent="0.25">
      <c r="A742" s="6"/>
      <c r="O742" s="6"/>
    </row>
    <row r="743" spans="1:15" x14ac:dyDescent="0.25">
      <c r="A743" s="6"/>
      <c r="O743" s="6"/>
    </row>
    <row r="744" spans="1:15" x14ac:dyDescent="0.25">
      <c r="A744" s="6"/>
      <c r="O744" s="6"/>
    </row>
    <row r="745" spans="1:15" x14ac:dyDescent="0.25">
      <c r="A745" s="6"/>
      <c r="O745" s="6"/>
    </row>
    <row r="746" spans="1:15" x14ac:dyDescent="0.25">
      <c r="A746" s="6"/>
      <c r="O746" s="6"/>
    </row>
    <row r="747" spans="1:15" x14ac:dyDescent="0.25">
      <c r="A747" s="6"/>
      <c r="O747" s="6"/>
    </row>
    <row r="748" spans="1:15" x14ac:dyDescent="0.25">
      <c r="A748" s="6"/>
      <c r="O748" s="6"/>
    </row>
    <row r="749" spans="1:15" x14ac:dyDescent="0.25">
      <c r="A749" s="6"/>
      <c r="O749" s="6"/>
    </row>
    <row r="750" spans="1:15" x14ac:dyDescent="0.25">
      <c r="A750" s="6"/>
      <c r="O750" s="6"/>
    </row>
    <row r="751" spans="1:15" x14ac:dyDescent="0.25">
      <c r="A751" s="6"/>
      <c r="O751" s="6"/>
    </row>
    <row r="752" spans="1:15" x14ac:dyDescent="0.25">
      <c r="A752" s="6"/>
      <c r="O752" s="6"/>
    </row>
    <row r="753" spans="1:15" x14ac:dyDescent="0.25">
      <c r="A753" s="6"/>
      <c r="O753" s="6"/>
    </row>
    <row r="754" spans="1:15" x14ac:dyDescent="0.25">
      <c r="A754" s="6"/>
      <c r="O754" s="6"/>
    </row>
    <row r="755" spans="1:15" x14ac:dyDescent="0.25">
      <c r="A755" s="6"/>
      <c r="O755" s="6"/>
    </row>
    <row r="756" spans="1:15" x14ac:dyDescent="0.25">
      <c r="A756" s="6"/>
      <c r="O756" s="6"/>
    </row>
    <row r="757" spans="1:15" x14ac:dyDescent="0.25">
      <c r="O757" s="6"/>
    </row>
    <row r="758" spans="1:15" x14ac:dyDescent="0.25">
      <c r="O758" s="6"/>
    </row>
    <row r="759" spans="1:15" x14ac:dyDescent="0.25">
      <c r="O759" s="6"/>
    </row>
    <row r="760" spans="1:15" x14ac:dyDescent="0.25">
      <c r="O760" s="6"/>
    </row>
    <row r="761" spans="1:15" x14ac:dyDescent="0.25">
      <c r="O761" s="6"/>
    </row>
    <row r="762" spans="1:15" x14ac:dyDescent="0.25">
      <c r="O762" s="6"/>
    </row>
    <row r="763" spans="1:15" x14ac:dyDescent="0.25">
      <c r="O763" s="6"/>
    </row>
    <row r="764" spans="1:15" x14ac:dyDescent="0.25">
      <c r="O764" s="6"/>
    </row>
    <row r="765" spans="1:15" x14ac:dyDescent="0.25">
      <c r="O765" s="6"/>
    </row>
    <row r="766" spans="1:15" x14ac:dyDescent="0.25">
      <c r="O766" s="6"/>
    </row>
    <row r="767" spans="1:15" x14ac:dyDescent="0.25">
      <c r="O767" s="6"/>
    </row>
    <row r="768" spans="1:15" x14ac:dyDescent="0.25">
      <c r="O768" s="6"/>
    </row>
    <row r="769" spans="15:15" x14ac:dyDescent="0.25">
      <c r="O769" s="6"/>
    </row>
    <row r="770" spans="15:15" x14ac:dyDescent="0.25">
      <c r="O770" s="6"/>
    </row>
    <row r="771" spans="15:15" x14ac:dyDescent="0.25">
      <c r="O771" s="6"/>
    </row>
    <row r="772" spans="15:15" x14ac:dyDescent="0.25">
      <c r="O772" s="6"/>
    </row>
    <row r="773" spans="15:15" x14ac:dyDescent="0.25">
      <c r="O773" s="6"/>
    </row>
    <row r="774" spans="15:15" x14ac:dyDescent="0.25">
      <c r="O774" s="6"/>
    </row>
    <row r="775" spans="15:15" x14ac:dyDescent="0.25">
      <c r="O775" s="6"/>
    </row>
    <row r="776" spans="15:15" x14ac:dyDescent="0.25">
      <c r="O776" s="6"/>
    </row>
    <row r="777" spans="15:15" x14ac:dyDescent="0.25">
      <c r="O777" s="6"/>
    </row>
    <row r="778" spans="15:15" x14ac:dyDescent="0.25">
      <c r="O778" s="6"/>
    </row>
    <row r="779" spans="15:15" x14ac:dyDescent="0.25">
      <c r="O779" s="6"/>
    </row>
    <row r="780" spans="15:15" x14ac:dyDescent="0.25">
      <c r="O780" s="6"/>
    </row>
    <row r="781" spans="15:15" x14ac:dyDescent="0.25">
      <c r="O781" s="6"/>
    </row>
    <row r="782" spans="15:15" x14ac:dyDescent="0.25">
      <c r="O782" s="6"/>
    </row>
    <row r="783" spans="15:15" x14ac:dyDescent="0.25">
      <c r="O783" s="6"/>
    </row>
    <row r="784" spans="15:15" x14ac:dyDescent="0.25">
      <c r="O784" s="6"/>
    </row>
    <row r="785" spans="15:15" x14ac:dyDescent="0.25">
      <c r="O785" s="6"/>
    </row>
  </sheetData>
  <mergeCells count="44">
    <mergeCell ref="DC5:DD5"/>
    <mergeCell ref="CN5:CO5"/>
    <mergeCell ref="CQ3:CR3"/>
    <mergeCell ref="CQ4:CR4"/>
    <mergeCell ref="CT3:CU3"/>
    <mergeCell ref="CT4:CU4"/>
    <mergeCell ref="CT5:CU5"/>
    <mergeCell ref="CW5:CX5"/>
    <mergeCell ref="CZ4:DA4"/>
    <mergeCell ref="CZ5:DA5"/>
    <mergeCell ref="BG3:BH3"/>
    <mergeCell ref="BJ3:BK3"/>
    <mergeCell ref="BJ4:BK4"/>
    <mergeCell ref="BS4:BT4"/>
    <mergeCell ref="BS5:BT5"/>
    <mergeCell ref="BM3:BN3"/>
    <mergeCell ref="BP3:BQ3"/>
    <mergeCell ref="BP4:BQ4"/>
    <mergeCell ref="BS3:BT3"/>
    <mergeCell ref="CK4:CL4"/>
    <mergeCell ref="DE3:DF3"/>
    <mergeCell ref="CK3:CL3"/>
    <mergeCell ref="CN3:CO3"/>
    <mergeCell ref="CN4:CO4"/>
    <mergeCell ref="CW3:CX3"/>
    <mergeCell ref="CW4:CX4"/>
    <mergeCell ref="CZ3:DA3"/>
    <mergeCell ref="DC3:DD3"/>
    <mergeCell ref="DC4:DD4"/>
    <mergeCell ref="CE5:CF5"/>
    <mergeCell ref="BV3:BW3"/>
    <mergeCell ref="BV4:BW4"/>
    <mergeCell ref="CH3:CI3"/>
    <mergeCell ref="CH4:CI4"/>
    <mergeCell ref="BY3:BZ3"/>
    <mergeCell ref="CB3:CC3"/>
    <mergeCell ref="CB4:CC4"/>
    <mergeCell ref="CE3:CF3"/>
    <mergeCell ref="CE4:CF4"/>
    <mergeCell ref="V5:W5"/>
    <mergeCell ref="V6:W6"/>
    <mergeCell ref="V4:W4"/>
    <mergeCell ref="BV5:BW5"/>
    <mergeCell ref="BS6:BT6"/>
  </mergeCells>
  <conditionalFormatting sqref="G24">
    <cfRule type="colorScale" priority="351">
      <colorScale>
        <cfvo type="min"/>
        <cfvo type="num" val="$G$22"/>
        <cfvo type="max"/>
        <color rgb="FFFF3300"/>
        <color rgb="FF00B050"/>
        <color rgb="FFFF3300"/>
      </colorScale>
    </cfRule>
  </conditionalFormatting>
  <conditionalFormatting sqref="K28:N29">
    <cfRule type="expression" dxfId="104" priority="350">
      <formula>$J$28&lt;&gt;""</formula>
    </cfRule>
  </conditionalFormatting>
  <conditionalFormatting sqref="AX31 AP31 AP22 AP20 AP27 AP29">
    <cfRule type="containsText" dxfId="103" priority="147" operator="containsText" text="X">
      <formula>NOT(ISERROR(SEARCH("X",AP20)))</formula>
    </cfRule>
  </conditionalFormatting>
  <conditionalFormatting sqref="AB31 AD31 AF31 AH31 AJ31 AL31 AN31 AR31 AT31">
    <cfRule type="containsText" dxfId="102" priority="146" operator="containsText" text="X">
      <formula>NOT(ISERROR(SEARCH("X",AB31)))</formula>
    </cfRule>
  </conditionalFormatting>
  <conditionalFormatting sqref="J31:O32">
    <cfRule type="expression" dxfId="101" priority="141">
      <formula>$J$31&lt;&gt;""</formula>
    </cfRule>
  </conditionalFormatting>
  <conditionalFormatting sqref="AR24 AT24">
    <cfRule type="containsText" dxfId="100" priority="139" operator="containsText" text="X">
      <formula>NOT(ISERROR(SEARCH("X",AR24)))</formula>
    </cfRule>
  </conditionalFormatting>
  <conditionalFormatting sqref="AL22 AN22">
    <cfRule type="containsText" dxfId="99" priority="138" operator="containsText" text="X">
      <formula>NOT(ISERROR(SEARCH("X",AL22)))</formula>
    </cfRule>
  </conditionalFormatting>
  <conditionalFormatting sqref="AJ20">
    <cfRule type="containsText" dxfId="98" priority="137" operator="containsText" text="X">
      <formula>NOT(ISERROR(SEARCH("X",AJ20)))</formula>
    </cfRule>
  </conditionalFormatting>
  <conditionalFormatting sqref="AN20">
    <cfRule type="containsText" dxfId="97" priority="136" operator="containsText" text="X">
      <formula>NOT(ISERROR(SEARCH("X",AN20)))</formula>
    </cfRule>
  </conditionalFormatting>
  <conditionalFormatting sqref="AH18">
    <cfRule type="containsText" dxfId="96" priority="130" operator="containsText" text="X">
      <formula>NOT(ISERROR(SEARCH("X",AH18)))</formula>
    </cfRule>
  </conditionalFormatting>
  <conditionalFormatting sqref="AR20">
    <cfRule type="containsText" dxfId="95" priority="133" operator="containsText" text="X">
      <formula>NOT(ISERROR(SEARCH("X",AR20)))</formula>
    </cfRule>
  </conditionalFormatting>
  <conditionalFormatting sqref="AV20">
    <cfRule type="containsText" dxfId="94" priority="132" operator="containsText" text="X">
      <formula>NOT(ISERROR(SEARCH("X",AV20)))</formula>
    </cfRule>
  </conditionalFormatting>
  <conditionalFormatting sqref="AL18">
    <cfRule type="containsText" dxfId="93" priority="131" operator="containsText" text="X">
      <formula>NOT(ISERROR(SEARCH("X",AL18)))</formula>
    </cfRule>
  </conditionalFormatting>
  <conditionalFormatting sqref="AT18">
    <cfRule type="containsText" dxfId="92" priority="129" operator="containsText" text="X">
      <formula>NOT(ISERROR(SEARCH("X",AT18)))</formula>
    </cfRule>
  </conditionalFormatting>
  <conditionalFormatting sqref="AX27">
    <cfRule type="containsText" dxfId="91" priority="123" operator="containsText" text="X">
      <formula>NOT(ISERROR(SEARCH("X",AX27)))</formula>
    </cfRule>
  </conditionalFormatting>
  <conditionalFormatting sqref="AB27 AD27 AF27 AH27 AJ27 AL27 AN27 AR27 AT27">
    <cfRule type="containsText" dxfId="90" priority="122" operator="containsText" text="X">
      <formula>NOT(ISERROR(SEARCH("X",AB27)))</formula>
    </cfRule>
  </conditionalFormatting>
  <conditionalFormatting sqref="AH29 AJ29 AL29 AN29 AR29 AT29 AV29">
    <cfRule type="containsText" dxfId="89" priority="121" operator="containsText" text="X">
      <formula>NOT(ISERROR(SEARCH("X",AH29)))</formula>
    </cfRule>
  </conditionalFormatting>
  <conditionalFormatting sqref="Z20">
    <cfRule type="containsText" dxfId="88" priority="103" operator="containsText" text="X">
      <formula>NOT(ISERROR(SEARCH("X",Z20)))</formula>
    </cfRule>
  </conditionalFormatting>
  <conditionalFormatting sqref="Z18">
    <cfRule type="containsText" dxfId="87" priority="102" operator="containsText" text="X">
      <formula>NOT(ISERROR(SEARCH("X",Z18)))</formula>
    </cfRule>
  </conditionalFormatting>
  <conditionalFormatting sqref="Z24">
    <cfRule type="containsText" dxfId="86" priority="101" operator="containsText" text="X">
      <formula>NOT(ISERROR(SEARCH("X",Z24)))</formula>
    </cfRule>
  </conditionalFormatting>
  <conditionalFormatting sqref="Z22">
    <cfRule type="containsText" dxfId="85" priority="100" operator="containsText" text="X">
      <formula>NOT(ISERROR(SEARCH("X",Z22)))</formula>
    </cfRule>
  </conditionalFormatting>
  <conditionalFormatting sqref="K39">
    <cfRule type="cellIs" dxfId="84" priority="83" operator="lessThan">
      <formula>400</formula>
    </cfRule>
    <cfRule type="cellIs" dxfId="83" priority="84" operator="between">
      <formula>400</formula>
      <formula>500</formula>
    </cfRule>
    <cfRule type="cellIs" dxfId="82" priority="85" operator="greaterThan">
      <formula>500</formula>
    </cfRule>
  </conditionalFormatting>
  <conditionalFormatting sqref="K40:K42">
    <cfRule type="cellIs" dxfId="81" priority="80" operator="lessThan">
      <formula>200</formula>
    </cfRule>
    <cfRule type="cellIs" dxfId="80" priority="81" operator="between">
      <formula>200</formula>
      <formula>250</formula>
    </cfRule>
    <cfRule type="cellIs" dxfId="79" priority="82" operator="greaterThan">
      <formula>250</formula>
    </cfRule>
  </conditionalFormatting>
  <conditionalFormatting sqref="E39">
    <cfRule type="cellIs" dxfId="78" priority="75" operator="lessThan">
      <formula>30</formula>
    </cfRule>
    <cfRule type="cellIs" dxfId="77" priority="76" operator="between">
      <formula>30</formula>
      <formula>60</formula>
    </cfRule>
    <cfRule type="cellIs" dxfId="76" priority="77" operator="between">
      <formula>60</formula>
      <formula>130</formula>
    </cfRule>
    <cfRule type="cellIs" dxfId="75" priority="78" operator="between">
      <formula>130</formula>
      <formula>150</formula>
    </cfRule>
    <cfRule type="cellIs" dxfId="74" priority="79" operator="greaterThan">
      <formula>150</formula>
    </cfRule>
  </conditionalFormatting>
  <conditionalFormatting sqref="E40">
    <cfRule type="cellIs" dxfId="73" priority="73" operator="lessThan">
      <formula>20</formula>
    </cfRule>
    <cfRule type="cellIs" dxfId="72" priority="74" operator="greaterThan">
      <formula>20</formula>
    </cfRule>
  </conditionalFormatting>
  <conditionalFormatting sqref="E41">
    <cfRule type="cellIs" dxfId="71" priority="70" operator="lessThan">
      <formula>45</formula>
    </cfRule>
    <cfRule type="cellIs" dxfId="70" priority="71" operator="between">
      <formula>45</formula>
      <formula>50</formula>
    </cfRule>
    <cfRule type="cellIs" dxfId="69" priority="72" operator="greaterThan">
      <formula>50</formula>
    </cfRule>
  </conditionalFormatting>
  <conditionalFormatting sqref="K34:N35">
    <cfRule type="expression" dxfId="68" priority="33">
      <formula>$K$34&lt;&gt;""</formula>
    </cfRule>
  </conditionalFormatting>
  <conditionalFormatting sqref="Z31">
    <cfRule type="expression" dxfId="67" priority="357">
      <formula>$Z$31&lt;0</formula>
    </cfRule>
    <cfRule type="containsText" dxfId="66" priority="359" operator="containsText" text="X">
      <formula>NOT(ISERROR(SEARCH("X",Z31)))</formula>
    </cfRule>
  </conditionalFormatting>
  <conditionalFormatting sqref="AB8">
    <cfRule type="expression" dxfId="65" priority="27">
      <formula>$AB$8&gt;0</formula>
    </cfRule>
  </conditionalFormatting>
  <conditionalFormatting sqref="AD8">
    <cfRule type="expression" dxfId="64" priority="26">
      <formula>$AD$8&gt;0</formula>
    </cfRule>
  </conditionalFormatting>
  <conditionalFormatting sqref="AF8">
    <cfRule type="expression" dxfId="63" priority="25">
      <formula>$AF$8&gt;0</formula>
    </cfRule>
  </conditionalFormatting>
  <conditionalFormatting sqref="AH8">
    <cfRule type="expression" dxfId="62" priority="24">
      <formula>$AH$8&gt;0</formula>
    </cfRule>
  </conditionalFormatting>
  <conditionalFormatting sqref="AJ8">
    <cfRule type="expression" dxfId="61" priority="23">
      <formula>$AJ$8&gt;0</formula>
    </cfRule>
  </conditionalFormatting>
  <conditionalFormatting sqref="AL8">
    <cfRule type="expression" dxfId="60" priority="22">
      <formula>$AL$8&gt;0</formula>
    </cfRule>
  </conditionalFormatting>
  <conditionalFormatting sqref="AN8">
    <cfRule type="expression" dxfId="59" priority="21">
      <formula>$AN$8&gt;0</formula>
    </cfRule>
  </conditionalFormatting>
  <conditionalFormatting sqref="AR8">
    <cfRule type="expression" dxfId="58" priority="20">
      <formula>$AR$8&gt;0</formula>
    </cfRule>
  </conditionalFormatting>
  <conditionalFormatting sqref="AT8">
    <cfRule type="expression" dxfId="57" priority="19">
      <formula>$AT$8&gt;0</formula>
    </cfRule>
  </conditionalFormatting>
  <conditionalFormatting sqref="AV8">
    <cfRule type="expression" dxfId="56" priority="18">
      <formula>$AV$8&gt;0</formula>
    </cfRule>
  </conditionalFormatting>
  <conditionalFormatting sqref="AX8">
    <cfRule type="expression" dxfId="55" priority="17">
      <formula>$AX$8&gt;0</formula>
    </cfRule>
  </conditionalFormatting>
  <conditionalFormatting sqref="Z8">
    <cfRule type="expression" dxfId="54" priority="2">
      <formula>$Z$8&gt;($U$4-$X$8)</formula>
    </cfRule>
    <cfRule type="expression" dxfId="53" priority="14">
      <formula>$Z$8&gt;0</formula>
    </cfRule>
  </conditionalFormatting>
  <conditionalFormatting sqref="X8">
    <cfRule type="expression" dxfId="52" priority="3">
      <formula>$X$8&gt;($U$4-$Z$8)</formula>
    </cfRule>
    <cfRule type="expression" dxfId="51" priority="13">
      <formula>$X$8&gt;0</formula>
    </cfRule>
  </conditionalFormatting>
  <conditionalFormatting sqref="X18">
    <cfRule type="expression" dxfId="50" priority="10">
      <formula>$X$18&lt;0</formula>
    </cfRule>
  </conditionalFormatting>
  <conditionalFormatting sqref="X18">
    <cfRule type="expression" dxfId="49" priority="11">
      <formula>$X$18&gt;$U$5</formula>
    </cfRule>
  </conditionalFormatting>
  <conditionalFormatting sqref="X20">
    <cfRule type="expression" dxfId="48" priority="8">
      <formula>$X$20&lt;0</formula>
    </cfRule>
  </conditionalFormatting>
  <conditionalFormatting sqref="X20">
    <cfRule type="expression" dxfId="47" priority="9">
      <formula>$X$20&gt;$U$5</formula>
    </cfRule>
  </conditionalFormatting>
  <conditionalFormatting sqref="X22">
    <cfRule type="expression" dxfId="46" priority="6">
      <formula>$X$22&lt;0</formula>
    </cfRule>
  </conditionalFormatting>
  <conditionalFormatting sqref="X22">
    <cfRule type="expression" dxfId="45" priority="7">
      <formula>$X$22&gt;$U$5</formula>
    </cfRule>
  </conditionalFormatting>
  <conditionalFormatting sqref="X24">
    <cfRule type="expression" dxfId="44" priority="4">
      <formula>$X$24&lt;0</formula>
    </cfRule>
  </conditionalFormatting>
  <conditionalFormatting sqref="X24">
    <cfRule type="expression" dxfId="43" priority="5">
      <formula>$X$24&gt;$U$5</formula>
    </cfRule>
  </conditionalFormatting>
  <conditionalFormatting sqref="AP8">
    <cfRule type="expression" dxfId="42" priority="1">
      <formula>$AP$8&gt;0</formula>
    </cfRule>
  </conditionalFormatting>
  <pageMargins left="0.7" right="0.7" top="0.78740157499999996" bottom="0.78740157499999996" header="0.3" footer="0.3"/>
  <pageSetup paperSize="9" orientation="portrait"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iconSet" priority="320" id="{F720508C-81A9-4730-B5A5-22622CF59335}">
            <x14:iconSet showValue="0" custom="1">
              <x14:cfvo type="percent">
                <xm:f>0</xm:f>
              </x14:cfvo>
              <x14:cfvo type="num">
                <xm:f>50</xm:f>
              </x14:cfvo>
              <x14:cfvo type="num">
                <xm:f>100</xm:f>
              </x14:cfvo>
              <x14:cfIcon iconSet="4Arrows" iconId="2"/>
              <x14:cfIcon iconSet="3TrafficLights1" iconId="2"/>
              <x14:cfIcon iconSet="4Arrows" iconId="1"/>
            </x14:iconSet>
          </x14:cfRule>
          <xm:sqref>BE20</xm:sqref>
        </x14:conditionalFormatting>
        <x14:conditionalFormatting xmlns:xm="http://schemas.microsoft.com/office/excel/2006/main">
          <x14:cfRule type="iconSet" priority="319" id="{2F02C15E-F21A-49DC-B96F-AEBD51B7337F}">
            <x14:iconSet showValue="0" custom="1">
              <x14:cfvo type="percent">
                <xm:f>0</xm:f>
              </x14:cfvo>
              <x14:cfvo type="num">
                <xm:f>30</xm:f>
              </x14:cfvo>
              <x14:cfvo type="num">
                <xm:f>50</xm:f>
              </x14:cfvo>
              <x14:cfIcon iconSet="4Arrows" iconId="2"/>
              <x14:cfIcon iconSet="3TrafficLights1" iconId="2"/>
              <x14:cfIcon iconSet="4Arrows" iconId="1"/>
            </x14:iconSet>
          </x14:cfRule>
          <xm:sqref>BE22</xm:sqref>
        </x14:conditionalFormatting>
        <x14:conditionalFormatting xmlns:xm="http://schemas.microsoft.com/office/excel/2006/main">
          <x14:cfRule type="iconSet" priority="318" id="{0D4478A9-A050-4686-921F-6592CF85878A}">
            <x14:iconSet showValue="0" custom="1">
              <x14:cfvo type="percent">
                <xm:f>0</xm:f>
              </x14:cfvo>
              <x14:cfvo type="num">
                <xm:f>0</xm:f>
              </x14:cfvo>
              <x14:cfvo type="num">
                <xm:f>50</xm:f>
              </x14:cfvo>
              <x14:cfIcon iconSet="NoIcons" iconId="0"/>
              <x14:cfIcon iconSet="3TrafficLights1" iconId="2"/>
              <x14:cfIcon iconSet="4Arrows" iconId="1"/>
            </x14:iconSet>
          </x14:cfRule>
          <xm:sqref>BE18</xm:sqref>
        </x14:conditionalFormatting>
        <x14:conditionalFormatting xmlns:xm="http://schemas.microsoft.com/office/excel/2006/main">
          <x14:cfRule type="iconSet" priority="317" id="{5DA09DB2-D379-40CF-A3DA-8722CCDCAF64}">
            <x14:iconSet showValue="0" custom="1">
              <x14:cfvo type="percent">
                <xm:f>0</xm:f>
              </x14:cfvo>
              <x14:cfvo type="num">
                <xm:f>0</xm:f>
              </x14:cfvo>
              <x14:cfvo type="num">
                <xm:f>20</xm:f>
              </x14:cfvo>
              <x14:cfIcon iconSet="NoIcons" iconId="0"/>
              <x14:cfIcon iconSet="3TrafficLights1" iconId="2"/>
              <x14:cfIcon iconSet="4Arrows" iconId="1"/>
            </x14:iconSet>
          </x14:cfRule>
          <xm:sqref>BE24</xm:sqref>
        </x14:conditionalFormatting>
        <x14:conditionalFormatting xmlns:xm="http://schemas.microsoft.com/office/excel/2006/main">
          <x14:cfRule type="iconSet" priority="316" id="{6820BCD7-F8C3-4BC1-9750-6D883094B37E}">
            <x14:iconSet showValue="0" custom="1">
              <x14:cfvo type="percent">
                <xm:f>0</xm:f>
              </x14:cfvo>
              <x14:cfvo type="num">
                <xm:f>-3</xm:f>
              </x14:cfvo>
              <x14:cfvo type="num">
                <xm:f>0</xm:f>
              </x14:cfvo>
              <x14:cfIcon iconSet="4Arrows" iconId="2"/>
              <x14:cfIcon iconSet="3TrafficLights1" iconId="2"/>
              <x14:cfIcon iconSet="4Arrows" iconId="1"/>
            </x14:iconSet>
          </x14:cfRule>
          <xm:sqref>BE31</xm:sqref>
        </x14:conditionalFormatting>
        <x14:conditionalFormatting xmlns:xm="http://schemas.microsoft.com/office/excel/2006/main">
          <x14:cfRule type="iconSet" priority="315" id="{D371579B-B0F6-4CAD-B898-8F22D245D3F5}">
            <x14:iconSet showValue="0" custom="1">
              <x14:cfvo type="percent">
                <xm:f>0</xm:f>
              </x14:cfvo>
              <x14:cfvo type="num">
                <xm:f>0</xm:f>
              </x14:cfvo>
              <x14:cfvo type="num">
                <xm:f>50</xm:f>
              </x14:cfvo>
              <x14:cfIcon iconSet="NoIcons" iconId="0"/>
              <x14:cfIcon iconSet="3TrafficLights1" iconId="2"/>
              <x14:cfIcon iconSet="4Arrows" iconId="1"/>
            </x14:iconSet>
          </x14:cfRule>
          <xm:sqref>BH20</xm:sqref>
        </x14:conditionalFormatting>
        <x14:conditionalFormatting xmlns:xm="http://schemas.microsoft.com/office/excel/2006/main">
          <x14:cfRule type="iconSet" priority="314" id="{72DCD971-D77B-426E-BDC2-13195F407CE0}">
            <x14:iconSet showValue="0" custom="1">
              <x14:cfvo type="percent">
                <xm:f>0</xm:f>
              </x14:cfvo>
              <x14:cfvo type="num">
                <xm:f>0</xm:f>
              </x14:cfvo>
              <x14:cfvo type="num">
                <xm:f>30</xm:f>
              </x14:cfvo>
              <x14:cfIcon iconSet="NoIcons" iconId="0"/>
              <x14:cfIcon iconSet="3TrafficLights1" iconId="2"/>
              <x14:cfIcon iconSet="4Arrows" iconId="1"/>
            </x14:iconSet>
          </x14:cfRule>
          <xm:sqref>BH22</xm:sqref>
        </x14:conditionalFormatting>
        <x14:conditionalFormatting xmlns:xm="http://schemas.microsoft.com/office/excel/2006/main">
          <x14:cfRule type="iconSet" priority="313" id="{8706BF70-2BD0-4BB8-9803-7ABF86526278}">
            <x14:iconSet showValue="0" custom="1">
              <x14:cfvo type="percent">
                <xm:f>0</xm:f>
              </x14:cfvo>
              <x14:cfvo type="num">
                <xm:f>0</xm:f>
              </x14:cfvo>
              <x14:cfvo type="num">
                <xm:f>50</xm:f>
              </x14:cfvo>
              <x14:cfIcon iconSet="NoIcons" iconId="0"/>
              <x14:cfIcon iconSet="3TrafficLights1" iconId="2"/>
              <x14:cfIcon iconSet="4Arrows" iconId="1"/>
            </x14:iconSet>
          </x14:cfRule>
          <xm:sqref>BH18</xm:sqref>
        </x14:conditionalFormatting>
        <x14:conditionalFormatting xmlns:xm="http://schemas.microsoft.com/office/excel/2006/main">
          <x14:cfRule type="iconSet" priority="312" id="{81D961ED-BDDF-479B-9EC7-A4658426D809}">
            <x14:iconSet showValue="0" custom="1">
              <x14:cfvo type="percent">
                <xm:f>0</xm:f>
              </x14:cfvo>
              <x14:cfvo type="num">
                <xm:f>0</xm:f>
              </x14:cfvo>
              <x14:cfvo type="num">
                <xm:f>20</xm:f>
              </x14:cfvo>
              <x14:cfIcon iconSet="NoIcons" iconId="0"/>
              <x14:cfIcon iconSet="3TrafficLights1" iconId="2"/>
              <x14:cfIcon iconSet="4Arrows" iconId="1"/>
            </x14:iconSet>
          </x14:cfRule>
          <xm:sqref>BH24</xm:sqref>
        </x14:conditionalFormatting>
        <x14:conditionalFormatting xmlns:xm="http://schemas.microsoft.com/office/excel/2006/main">
          <x14:cfRule type="iconSet" priority="311" id="{C0001A58-1E49-466E-A77E-EC1CB7506907}">
            <x14:iconSet showValue="0" custom="1">
              <x14:cfvo type="percent">
                <xm:f>0</xm:f>
              </x14:cfvo>
              <x14:cfvo type="num">
                <xm:f>-2</xm:f>
              </x14:cfvo>
              <x14:cfvo type="num">
                <xm:f>0</xm:f>
              </x14:cfvo>
              <x14:cfIcon iconSet="4Arrows" iconId="2"/>
              <x14:cfIcon iconSet="3TrafficLights1" iconId="2"/>
              <x14:cfIcon iconSet="4Arrows" iconId="1"/>
            </x14:iconSet>
          </x14:cfRule>
          <xm:sqref>BH31</xm:sqref>
        </x14:conditionalFormatting>
        <x14:conditionalFormatting xmlns:xm="http://schemas.microsoft.com/office/excel/2006/main">
          <x14:cfRule type="iconSet" priority="310" id="{71664FF0-4990-4D03-8D3A-3046DCF7E30B}">
            <x14:iconSet showValue="0" custom="1">
              <x14:cfvo type="percent">
                <xm:f>0</xm:f>
              </x14:cfvo>
              <x14:cfvo type="num">
                <xm:f>50</xm:f>
              </x14:cfvo>
              <x14:cfvo type="num">
                <xm:f>100</xm:f>
              </x14:cfvo>
              <x14:cfIcon iconSet="4Arrows" iconId="2"/>
              <x14:cfIcon iconSet="3TrafficLights1" iconId="2"/>
              <x14:cfIcon iconSet="4Arrows" iconId="1"/>
            </x14:iconSet>
          </x14:cfRule>
          <xm:sqref>BK20</xm:sqref>
        </x14:conditionalFormatting>
        <x14:conditionalFormatting xmlns:xm="http://schemas.microsoft.com/office/excel/2006/main">
          <x14:cfRule type="iconSet" priority="309" id="{7DE7E3D7-F20D-4A91-8AED-70C2B7EB99CF}">
            <x14:iconSet showValue="0" custom="1">
              <x14:cfvo type="percent">
                <xm:f>0</xm:f>
              </x14:cfvo>
              <x14:cfvo type="num">
                <xm:f>0</xm:f>
              </x14:cfvo>
              <x14:cfvo type="num">
                <xm:f>20</xm:f>
              </x14:cfvo>
              <x14:cfIcon iconSet="NoIcons" iconId="0"/>
              <x14:cfIcon iconSet="3TrafficLights1" iconId="2"/>
              <x14:cfIcon iconSet="4Arrows" iconId="1"/>
            </x14:iconSet>
          </x14:cfRule>
          <xm:sqref>BK24</xm:sqref>
        </x14:conditionalFormatting>
        <x14:conditionalFormatting xmlns:xm="http://schemas.microsoft.com/office/excel/2006/main">
          <x14:cfRule type="iconSet" priority="308" id="{CD635218-55DD-40A5-9BB0-F686D491F51D}">
            <x14:iconSet showValue="0" custom="1">
              <x14:cfvo type="percent">
                <xm:f>0</xm:f>
              </x14:cfvo>
              <x14:cfvo type="num">
                <xm:f>50</xm:f>
              </x14:cfvo>
              <x14:cfvo type="num">
                <xm:f>150</xm:f>
              </x14:cfvo>
              <x14:cfIcon iconSet="4Arrows" iconId="2"/>
              <x14:cfIcon iconSet="3TrafficLights1" iconId="2"/>
              <x14:cfIcon iconSet="4Arrows" iconId="1"/>
            </x14:iconSet>
          </x14:cfRule>
          <xm:sqref>BK18</xm:sqref>
        </x14:conditionalFormatting>
        <x14:conditionalFormatting xmlns:xm="http://schemas.microsoft.com/office/excel/2006/main">
          <x14:cfRule type="iconSet" priority="307" id="{2FAC9C77-E34B-4DDE-B564-F708B10D8A38}">
            <x14:iconSet showValue="0" custom="1">
              <x14:cfvo type="percent">
                <xm:f>0</xm:f>
              </x14:cfvo>
              <x14:cfvo type="num">
                <xm:f>50</xm:f>
              </x14:cfvo>
              <x14:cfvo type="num">
                <xm:f>75</xm:f>
              </x14:cfvo>
              <x14:cfIcon iconSet="4Arrows" iconId="2"/>
              <x14:cfIcon iconSet="3TrafficLights1" iconId="2"/>
              <x14:cfIcon iconSet="4Arrows" iconId="1"/>
            </x14:iconSet>
          </x14:cfRule>
          <xm:sqref>BK22</xm:sqref>
        </x14:conditionalFormatting>
        <x14:conditionalFormatting xmlns:xm="http://schemas.microsoft.com/office/excel/2006/main">
          <x14:cfRule type="iconSet" priority="306" id="{468CC452-7233-497C-B174-FDD603EEA44C}">
            <x14:iconSet showValue="0" custom="1">
              <x14:cfvo type="percent">
                <xm:f>0</xm:f>
              </x14:cfvo>
              <x14:cfvo type="num">
                <xm:f>-5</xm:f>
              </x14:cfvo>
              <x14:cfvo type="num">
                <xm:f>0</xm:f>
              </x14:cfvo>
              <x14:cfIcon iconSet="4Arrows" iconId="2"/>
              <x14:cfIcon iconSet="3TrafficLights1" iconId="2"/>
              <x14:cfIcon iconSet="4Arrows" iconId="1"/>
            </x14:iconSet>
          </x14:cfRule>
          <xm:sqref>BK31</xm:sqref>
        </x14:conditionalFormatting>
        <x14:conditionalFormatting xmlns:xm="http://schemas.microsoft.com/office/excel/2006/main">
          <x14:cfRule type="iconSet" priority="305" id="{90AD3B53-422C-422C-9B7B-E0AA4521F3BD}">
            <x14:iconSet showValue="0" custom="1">
              <x14:cfvo type="percent">
                <xm:f>0</xm:f>
              </x14:cfvo>
              <x14:cfvo type="num">
                <xm:f>0</xm:f>
              </x14:cfvo>
              <x14:cfvo type="num">
                <xm:f>20</xm:f>
              </x14:cfvo>
              <x14:cfIcon iconSet="NoIcons" iconId="0"/>
              <x14:cfIcon iconSet="3TrafficLights1" iconId="2"/>
              <x14:cfIcon iconSet="4Arrows" iconId="1"/>
            </x14:iconSet>
          </x14:cfRule>
          <xm:sqref>BN24</xm:sqref>
        </x14:conditionalFormatting>
        <x14:conditionalFormatting xmlns:xm="http://schemas.microsoft.com/office/excel/2006/main">
          <x14:cfRule type="iconSet" priority="304" id="{DA057569-7A36-4681-A3E9-97CC1D98C6DD}">
            <x14:iconSet showValue="0" custom="1">
              <x14:cfvo type="percent">
                <xm:f>0</xm:f>
              </x14:cfvo>
              <x14:cfvo type="num">
                <xm:f>100</xm:f>
              </x14:cfvo>
              <x14:cfvo type="num">
                <xm:f>200</xm:f>
              </x14:cfvo>
              <x14:cfIcon iconSet="4Arrows" iconId="2"/>
              <x14:cfIcon iconSet="3TrafficLights1" iconId="2"/>
              <x14:cfIcon iconSet="4Arrows" iconId="1"/>
            </x14:iconSet>
          </x14:cfRule>
          <xm:sqref>BN18</xm:sqref>
        </x14:conditionalFormatting>
        <x14:conditionalFormatting xmlns:xm="http://schemas.microsoft.com/office/excel/2006/main">
          <x14:cfRule type="iconSet" priority="303" id="{98781839-C7FC-441D-B815-1171AEFE6741}">
            <x14:iconSet showValue="0" custom="1">
              <x14:cfvo type="percent">
                <xm:f>0</xm:f>
              </x14:cfvo>
              <x14:cfvo type="num">
                <xm:f>50</xm:f>
              </x14:cfvo>
              <x14:cfvo type="num">
                <xm:f>100</xm:f>
              </x14:cfvo>
              <x14:cfIcon iconSet="4Arrows" iconId="2"/>
              <x14:cfIcon iconSet="3TrafficLights1" iconId="2"/>
              <x14:cfIcon iconSet="4Arrows" iconId="1"/>
            </x14:iconSet>
          </x14:cfRule>
          <xm:sqref>BN20</xm:sqref>
        </x14:conditionalFormatting>
        <x14:conditionalFormatting xmlns:xm="http://schemas.microsoft.com/office/excel/2006/main">
          <x14:cfRule type="iconSet" priority="302" id="{B65FFEF8-CCB5-4E60-AB41-DCBCACE01F9B}">
            <x14:iconSet showValue="0" custom="1">
              <x14:cfvo type="percent">
                <xm:f>0</xm:f>
              </x14:cfvo>
              <x14:cfvo type="num">
                <xm:f>75</xm:f>
              </x14:cfvo>
              <x14:cfvo type="num">
                <xm:f>100</xm:f>
              </x14:cfvo>
              <x14:cfIcon iconSet="4Arrows" iconId="2"/>
              <x14:cfIcon iconSet="3TrafficLights1" iconId="2"/>
              <x14:cfIcon iconSet="4Arrows" iconId="1"/>
            </x14:iconSet>
          </x14:cfRule>
          <xm:sqref>BN22</xm:sqref>
        </x14:conditionalFormatting>
        <x14:conditionalFormatting xmlns:xm="http://schemas.microsoft.com/office/excel/2006/main">
          <x14:cfRule type="iconSet" priority="301" id="{EB83854D-1E32-4E6D-BF62-5E0353DBB156}">
            <x14:iconSet showValue="0" custom="1">
              <x14:cfvo type="percent">
                <xm:f>0</xm:f>
              </x14:cfvo>
              <x14:cfvo type="num">
                <xm:f>0</xm:f>
              </x14:cfvo>
              <x14:cfvo type="num">
                <xm:f>2</xm:f>
              </x14:cfvo>
              <x14:cfIcon iconSet="4Arrows" iconId="2"/>
              <x14:cfIcon iconSet="3TrafficLights1" iconId="2"/>
              <x14:cfIcon iconSet="4Arrows" iconId="1"/>
            </x14:iconSet>
          </x14:cfRule>
          <xm:sqref>BN31</xm:sqref>
        </x14:conditionalFormatting>
        <x14:conditionalFormatting xmlns:xm="http://schemas.microsoft.com/office/excel/2006/main">
          <x14:cfRule type="iconSet" priority="300" id="{25412DB0-8988-4970-8270-884407659156}">
            <x14:iconSet showValue="0" custom="1">
              <x14:cfvo type="percent">
                <xm:f>0</xm:f>
              </x14:cfvo>
              <x14:cfvo type="num">
                <xm:f>0</xm:f>
              </x14:cfvo>
              <x14:cfvo type="num">
                <xm:f>100</xm:f>
              </x14:cfvo>
              <x14:cfIcon iconSet="NoIcons" iconId="0"/>
              <x14:cfIcon iconSet="3TrafficLights1" iconId="2"/>
              <x14:cfIcon iconSet="4Arrows" iconId="1"/>
            </x14:iconSet>
          </x14:cfRule>
          <xm:sqref>BQ18</xm:sqref>
        </x14:conditionalFormatting>
        <x14:conditionalFormatting xmlns:xm="http://schemas.microsoft.com/office/excel/2006/main">
          <x14:cfRule type="iconSet" priority="299" id="{42121D66-76BB-425D-A1CC-3ED7A5CA1236}">
            <x14:iconSet showValue="0" custom="1">
              <x14:cfvo type="percent">
                <xm:f>0</xm:f>
              </x14:cfvo>
              <x14:cfvo type="num">
                <xm:f>50</xm:f>
              </x14:cfvo>
              <x14:cfvo type="num">
                <xm:f>150</xm:f>
              </x14:cfvo>
              <x14:cfIcon iconSet="4Arrows" iconId="2"/>
              <x14:cfIcon iconSet="3TrafficLights1" iconId="2"/>
              <x14:cfIcon iconSet="4Arrows" iconId="1"/>
            </x14:iconSet>
          </x14:cfRule>
          <xm:sqref>BQ20</xm:sqref>
        </x14:conditionalFormatting>
        <x14:conditionalFormatting xmlns:xm="http://schemas.microsoft.com/office/excel/2006/main">
          <x14:cfRule type="iconSet" priority="298" id="{9DABDF3A-4E12-4463-8251-AA02DFBD0951}">
            <x14:iconSet showValue="0" custom="1">
              <x14:cfvo type="percent">
                <xm:f>0</xm:f>
              </x14:cfvo>
              <x14:cfvo type="num">
                <xm:f>50</xm:f>
              </x14:cfvo>
              <x14:cfvo type="num">
                <xm:f>75</xm:f>
              </x14:cfvo>
              <x14:cfIcon iconSet="4Arrows" iconId="2"/>
              <x14:cfIcon iconSet="3TrafficLights1" iconId="2"/>
              <x14:cfIcon iconSet="4Arrows" iconId="1"/>
            </x14:iconSet>
          </x14:cfRule>
          <xm:sqref>BQ22</xm:sqref>
        </x14:conditionalFormatting>
        <x14:conditionalFormatting xmlns:xm="http://schemas.microsoft.com/office/excel/2006/main">
          <x14:cfRule type="iconSet" priority="297" id="{3D69BB17-2A5F-4B94-9834-7688996E890B}">
            <x14:iconSet showValue="0" custom="1">
              <x14:cfvo type="percent">
                <xm:f>0</xm:f>
              </x14:cfvo>
              <x14:cfvo type="num">
                <xm:f>0</xm:f>
              </x14:cfvo>
              <x14:cfvo type="num">
                <xm:f>25</xm:f>
              </x14:cfvo>
              <x14:cfIcon iconSet="NoIcons" iconId="0"/>
              <x14:cfIcon iconSet="3TrafficLights1" iconId="2"/>
              <x14:cfIcon iconSet="4Arrows" iconId="1"/>
            </x14:iconSet>
          </x14:cfRule>
          <xm:sqref>BQ24</xm:sqref>
        </x14:conditionalFormatting>
        <x14:conditionalFormatting xmlns:xm="http://schemas.microsoft.com/office/excel/2006/main">
          <x14:cfRule type="iconSet" priority="296" id="{D8485266-4673-4A01-A60C-92C5DFF7B9FA}">
            <x14:iconSet showValue="0" custom="1">
              <x14:cfvo type="percent">
                <xm:f>0</xm:f>
              </x14:cfvo>
              <x14:cfvo type="num">
                <xm:f>0</xm:f>
              </x14:cfvo>
              <x14:cfvo type="num">
                <xm:f>5</xm:f>
              </x14:cfvo>
              <x14:cfIcon iconSet="4Arrows" iconId="2"/>
              <x14:cfIcon iconSet="3TrafficLights1" iconId="2"/>
              <x14:cfIcon iconSet="4Arrows" iconId="1"/>
            </x14:iconSet>
          </x14:cfRule>
          <xm:sqref>BQ31</xm:sqref>
        </x14:conditionalFormatting>
        <x14:conditionalFormatting xmlns:xm="http://schemas.microsoft.com/office/excel/2006/main">
          <x14:cfRule type="iconSet" priority="295" id="{40E804C0-4DDA-48C5-8897-F9DC7E1AF231}">
            <x14:iconSet showValue="0" custom="1">
              <x14:cfvo type="percent">
                <xm:f>0</xm:f>
              </x14:cfvo>
              <x14:cfvo type="num">
                <xm:f>0</xm:f>
              </x14:cfvo>
              <x14:cfvo type="num">
                <xm:f>50</xm:f>
              </x14:cfvo>
              <x14:cfIcon iconSet="NoIcons" iconId="0"/>
              <x14:cfIcon iconSet="3TrafficLights1" iconId="2"/>
              <x14:cfIcon iconSet="4Arrows" iconId="1"/>
            </x14:iconSet>
          </x14:cfRule>
          <xm:sqref>BT18</xm:sqref>
        </x14:conditionalFormatting>
        <x14:conditionalFormatting xmlns:xm="http://schemas.microsoft.com/office/excel/2006/main">
          <x14:cfRule type="iconSet" priority="294" id="{119DE75E-96FA-4DFF-B5EF-CB7737AF3F98}">
            <x14:iconSet showValue="0" custom="1">
              <x14:cfvo type="percent">
                <xm:f>0</xm:f>
              </x14:cfvo>
              <x14:cfvo type="num">
                <xm:f>50</xm:f>
              </x14:cfvo>
              <x14:cfvo type="num">
                <xm:f>150</xm:f>
              </x14:cfvo>
              <x14:cfIcon iconSet="4Arrows" iconId="2"/>
              <x14:cfIcon iconSet="3TrafficLights1" iconId="2"/>
              <x14:cfIcon iconSet="4Arrows" iconId="1"/>
            </x14:iconSet>
          </x14:cfRule>
          <xm:sqref>BT20</xm:sqref>
        </x14:conditionalFormatting>
        <x14:conditionalFormatting xmlns:xm="http://schemas.microsoft.com/office/excel/2006/main">
          <x14:cfRule type="iconSet" priority="293" id="{02BC2173-2711-4F48-9791-0E27668C35B8}">
            <x14:iconSet showValue="0" custom="1">
              <x14:cfvo type="percent">
                <xm:f>0</xm:f>
              </x14:cfvo>
              <x14:cfvo type="num">
                <xm:f>50</xm:f>
              </x14:cfvo>
              <x14:cfvo type="num">
                <xm:f>75</xm:f>
              </x14:cfvo>
              <x14:cfIcon iconSet="4Arrows" iconId="2"/>
              <x14:cfIcon iconSet="3TrafficLights1" iconId="2"/>
              <x14:cfIcon iconSet="4Arrows" iconId="1"/>
            </x14:iconSet>
          </x14:cfRule>
          <xm:sqref>BT22</xm:sqref>
        </x14:conditionalFormatting>
        <x14:conditionalFormatting xmlns:xm="http://schemas.microsoft.com/office/excel/2006/main">
          <x14:cfRule type="iconSet" priority="292" id="{53C4E0FE-981A-49AE-9968-11C8CB4D55F3}">
            <x14:iconSet showValue="0" custom="1">
              <x14:cfvo type="percent">
                <xm:f>0</xm:f>
              </x14:cfvo>
              <x14:cfvo type="num">
                <xm:f>0</xm:f>
              </x14:cfvo>
              <x14:cfvo type="num">
                <xm:f>25</xm:f>
              </x14:cfvo>
              <x14:cfIcon iconSet="NoIcons" iconId="0"/>
              <x14:cfIcon iconSet="3TrafficLights1" iconId="2"/>
              <x14:cfIcon iconSet="4Arrows" iconId="1"/>
            </x14:iconSet>
          </x14:cfRule>
          <xm:sqref>BT24</xm:sqref>
        </x14:conditionalFormatting>
        <x14:conditionalFormatting xmlns:xm="http://schemas.microsoft.com/office/excel/2006/main">
          <x14:cfRule type="iconSet" priority="291" id="{BDEDCB48-CFD9-44F2-BCB7-32F9896A3B62}">
            <x14:iconSet showValue="0" custom="1">
              <x14:cfvo type="percent">
                <xm:f>0</xm:f>
              </x14:cfvo>
              <x14:cfvo type="num">
                <xm:f>3</xm:f>
              </x14:cfvo>
              <x14:cfvo type="num">
                <xm:f>6</xm:f>
              </x14:cfvo>
              <x14:cfIcon iconSet="4Arrows" iconId="2"/>
              <x14:cfIcon iconSet="3TrafficLights1" iconId="2"/>
              <x14:cfIcon iconSet="4Arrows" iconId="1"/>
            </x14:iconSet>
          </x14:cfRule>
          <xm:sqref>BT31</xm:sqref>
        </x14:conditionalFormatting>
        <x14:conditionalFormatting xmlns:xm="http://schemas.microsoft.com/office/excel/2006/main">
          <x14:cfRule type="iconSet" priority="290" id="{23CBCCF5-B74F-417A-9262-0E2EAE2AA589}">
            <x14:iconSet showValue="0" custom="1">
              <x14:cfvo type="percent">
                <xm:f>0</xm:f>
              </x14:cfvo>
              <x14:cfvo type="num">
                <xm:f>0</xm:f>
              </x14:cfvo>
              <x14:cfvo type="num">
                <xm:f>100</xm:f>
              </x14:cfvo>
              <x14:cfIcon iconSet="NoIcons" iconId="0"/>
              <x14:cfIcon iconSet="3TrafficLights1" iconId="2"/>
              <x14:cfIcon iconSet="4Arrows" iconId="1"/>
            </x14:iconSet>
          </x14:cfRule>
          <xm:sqref>BW18</xm:sqref>
        </x14:conditionalFormatting>
        <x14:conditionalFormatting xmlns:xm="http://schemas.microsoft.com/office/excel/2006/main">
          <x14:cfRule type="iconSet" priority="289" id="{0C5D8AD9-9419-4C01-A345-08EE40FE56C1}">
            <x14:iconSet showValue="0" custom="1">
              <x14:cfvo type="percent">
                <xm:f>0</xm:f>
              </x14:cfvo>
              <x14:cfvo type="num">
                <xm:f>50</xm:f>
              </x14:cfvo>
              <x14:cfvo type="num">
                <xm:f>150</xm:f>
              </x14:cfvo>
              <x14:cfIcon iconSet="4Arrows" iconId="2"/>
              <x14:cfIcon iconSet="3TrafficLights1" iconId="2"/>
              <x14:cfIcon iconSet="4Arrows" iconId="1"/>
            </x14:iconSet>
          </x14:cfRule>
          <xm:sqref>BW20</xm:sqref>
        </x14:conditionalFormatting>
        <x14:conditionalFormatting xmlns:xm="http://schemas.microsoft.com/office/excel/2006/main">
          <x14:cfRule type="iconSet" priority="288" id="{BEFDD7BF-7F71-4D97-AAA6-645664BB91C0}">
            <x14:iconSet showValue="0" custom="1">
              <x14:cfvo type="percent">
                <xm:f>0</xm:f>
              </x14:cfvo>
              <x14:cfvo type="num">
                <xm:f>50</xm:f>
              </x14:cfvo>
              <x14:cfvo type="num">
                <xm:f>75</xm:f>
              </x14:cfvo>
              <x14:cfIcon iconSet="4Arrows" iconId="2"/>
              <x14:cfIcon iconSet="3TrafficLights1" iconId="2"/>
              <x14:cfIcon iconSet="4Arrows" iconId="1"/>
            </x14:iconSet>
          </x14:cfRule>
          <xm:sqref>BW22</xm:sqref>
        </x14:conditionalFormatting>
        <x14:conditionalFormatting xmlns:xm="http://schemas.microsoft.com/office/excel/2006/main">
          <x14:cfRule type="iconSet" priority="287" id="{BAA4D650-D8B1-476B-93D3-BD71596028BF}">
            <x14:iconSet showValue="0" custom="1">
              <x14:cfvo type="percent">
                <xm:f>0</xm:f>
              </x14:cfvo>
              <x14:cfvo type="num">
                <xm:f>0</xm:f>
              </x14:cfvo>
              <x14:cfvo type="num">
                <xm:f>20</xm:f>
              </x14:cfvo>
              <x14:cfIcon iconSet="NoIcons" iconId="0"/>
              <x14:cfIcon iconSet="3TrafficLights1" iconId="2"/>
              <x14:cfIcon iconSet="4Arrows" iconId="1"/>
            </x14:iconSet>
          </x14:cfRule>
          <xm:sqref>BW24</xm:sqref>
        </x14:conditionalFormatting>
        <x14:conditionalFormatting xmlns:xm="http://schemas.microsoft.com/office/excel/2006/main">
          <x14:cfRule type="iconSet" priority="286" id="{F3D6DF1A-E0F4-46B1-9C20-D72E727BCF2A}">
            <x14:iconSet showValue="0" custom="1">
              <x14:cfvo type="percent">
                <xm:f>0</xm:f>
              </x14:cfvo>
              <x14:cfvo type="num">
                <xm:f>5</xm:f>
              </x14:cfvo>
              <x14:cfvo type="num">
                <xm:f>10</xm:f>
              </x14:cfvo>
              <x14:cfIcon iconSet="4Arrows" iconId="2"/>
              <x14:cfIcon iconSet="3TrafficLights1" iconId="2"/>
              <x14:cfIcon iconSet="4Arrows" iconId="1"/>
            </x14:iconSet>
          </x14:cfRule>
          <xm:sqref>BW31</xm:sqref>
        </x14:conditionalFormatting>
        <x14:conditionalFormatting xmlns:xm="http://schemas.microsoft.com/office/excel/2006/main">
          <x14:cfRule type="iconSet" priority="285" id="{7B8741CE-4ADD-4173-82D1-6E2FCAAA5311}">
            <x14:iconSet showValue="0" custom="1">
              <x14:cfvo type="percent">
                <xm:f>0</xm:f>
              </x14:cfvo>
              <x14:cfvo type="num">
                <xm:f>0</xm:f>
              </x14:cfvo>
              <x14:cfvo type="num">
                <xm:f>100</xm:f>
              </x14:cfvo>
              <x14:cfIcon iconSet="NoIcons" iconId="0"/>
              <x14:cfIcon iconSet="3TrafficLights1" iconId="2"/>
              <x14:cfIcon iconSet="4Arrows" iconId="1"/>
            </x14:iconSet>
          </x14:cfRule>
          <xm:sqref>BZ18</xm:sqref>
        </x14:conditionalFormatting>
        <x14:conditionalFormatting xmlns:xm="http://schemas.microsoft.com/office/excel/2006/main">
          <x14:cfRule type="iconSet" priority="284" id="{10B8F178-4684-455B-92AE-9049F482F182}">
            <x14:iconSet showValue="0" custom="1">
              <x14:cfvo type="percent">
                <xm:f>0</xm:f>
              </x14:cfvo>
              <x14:cfvo type="num">
                <xm:f>50</xm:f>
              </x14:cfvo>
              <x14:cfvo type="num">
                <xm:f>100</xm:f>
              </x14:cfvo>
              <x14:cfIcon iconSet="4Arrows" iconId="2"/>
              <x14:cfIcon iconSet="3TrafficLights1" iconId="2"/>
              <x14:cfIcon iconSet="4Arrows" iconId="1"/>
            </x14:iconSet>
          </x14:cfRule>
          <xm:sqref>BZ20</xm:sqref>
        </x14:conditionalFormatting>
        <x14:conditionalFormatting xmlns:xm="http://schemas.microsoft.com/office/excel/2006/main">
          <x14:cfRule type="iconSet" priority="283" id="{61BAAD1E-EE0A-4C0B-AD4D-E59F3A936CF8}">
            <x14:iconSet showValue="0" custom="1">
              <x14:cfvo type="percent">
                <xm:f>0</xm:f>
              </x14:cfvo>
              <x14:cfvo type="num">
                <xm:f>50</xm:f>
              </x14:cfvo>
              <x14:cfvo type="num">
                <xm:f>100</xm:f>
              </x14:cfvo>
              <x14:cfIcon iconSet="4Arrows" iconId="2"/>
              <x14:cfIcon iconSet="3TrafficLights1" iconId="2"/>
              <x14:cfIcon iconSet="4Arrows" iconId="1"/>
            </x14:iconSet>
          </x14:cfRule>
          <xm:sqref>BZ22</xm:sqref>
        </x14:conditionalFormatting>
        <x14:conditionalFormatting xmlns:xm="http://schemas.microsoft.com/office/excel/2006/main">
          <x14:cfRule type="iconSet" priority="282" id="{0C0E0CBC-F988-45E7-9335-5104B929BBCF}">
            <x14:iconSet showValue="0" custom="1">
              <x14:cfvo type="percent">
                <xm:f>0</xm:f>
              </x14:cfvo>
              <x14:cfvo type="num">
                <xm:f>0</xm:f>
              </x14:cfvo>
              <x14:cfvo type="num">
                <xm:f>25</xm:f>
              </x14:cfvo>
              <x14:cfIcon iconSet="NoIcons" iconId="0"/>
              <x14:cfIcon iconSet="3TrafficLights1" iconId="2"/>
              <x14:cfIcon iconSet="4Arrows" iconId="1"/>
            </x14:iconSet>
          </x14:cfRule>
          <xm:sqref>BZ24</xm:sqref>
        </x14:conditionalFormatting>
        <x14:conditionalFormatting xmlns:xm="http://schemas.microsoft.com/office/excel/2006/main">
          <x14:cfRule type="iconSet" priority="281" id="{6E05B5A3-D5C6-4D47-A458-D30980440FCA}">
            <x14:iconSet showValue="0" custom="1">
              <x14:cfvo type="percent">
                <xm:f>0</xm:f>
              </x14:cfvo>
              <x14:cfvo type="num">
                <xm:f>9</xm:f>
              </x14:cfvo>
              <x14:cfvo type="num">
                <xm:f>11</xm:f>
              </x14:cfvo>
              <x14:cfIcon iconSet="4Arrows" iconId="2"/>
              <x14:cfIcon iconSet="3TrafficLights1" iconId="2"/>
              <x14:cfIcon iconSet="4Arrows" iconId="1"/>
            </x14:iconSet>
          </x14:cfRule>
          <xm:sqref>BZ31</xm:sqref>
        </x14:conditionalFormatting>
        <x14:conditionalFormatting xmlns:xm="http://schemas.microsoft.com/office/excel/2006/main">
          <x14:cfRule type="iconSet" priority="280" id="{4BBCB225-1115-43AB-AA9E-67E22720B60C}">
            <x14:iconSet showValue="0" custom="1">
              <x14:cfvo type="percent">
                <xm:f>0</xm:f>
              </x14:cfvo>
              <x14:cfvo type="num">
                <xm:f>100</xm:f>
              </x14:cfvo>
              <x14:cfvo type="num">
                <xm:f>200</xm:f>
              </x14:cfvo>
              <x14:cfIcon iconSet="4Arrows" iconId="2"/>
              <x14:cfIcon iconSet="3TrafficLights1" iconId="2"/>
              <x14:cfIcon iconSet="4Arrows" iconId="1"/>
            </x14:iconSet>
          </x14:cfRule>
          <xm:sqref>CC18</xm:sqref>
        </x14:conditionalFormatting>
        <x14:conditionalFormatting xmlns:xm="http://schemas.microsoft.com/office/excel/2006/main">
          <x14:cfRule type="iconSet" priority="279" id="{8E0315A2-CE41-43E3-AEF2-1453E7BAF356}">
            <x14:iconSet showValue="0" custom="1">
              <x14:cfvo type="percent">
                <xm:f>0</xm:f>
              </x14:cfvo>
              <x14:cfvo type="num">
                <xm:f>50</xm:f>
              </x14:cfvo>
              <x14:cfvo type="num">
                <xm:f>100</xm:f>
              </x14:cfvo>
              <x14:cfIcon iconSet="4Arrows" iconId="2"/>
              <x14:cfIcon iconSet="3TrafficLights1" iconId="2"/>
              <x14:cfIcon iconSet="4Arrows" iconId="1"/>
            </x14:iconSet>
          </x14:cfRule>
          <xm:sqref>CC20</xm:sqref>
        </x14:conditionalFormatting>
        <x14:conditionalFormatting xmlns:xm="http://schemas.microsoft.com/office/excel/2006/main">
          <x14:cfRule type="iconSet" priority="278" id="{CB33AA1E-A247-4CAF-B8B0-10816FDC3373}">
            <x14:iconSet showValue="0" custom="1">
              <x14:cfvo type="percent">
                <xm:f>0</xm:f>
              </x14:cfvo>
              <x14:cfvo type="num">
                <xm:f>50</xm:f>
              </x14:cfvo>
              <x14:cfvo type="num">
                <xm:f>100</xm:f>
              </x14:cfvo>
              <x14:cfIcon iconSet="4Arrows" iconId="2"/>
              <x14:cfIcon iconSet="3TrafficLights1" iconId="2"/>
              <x14:cfIcon iconSet="4Arrows" iconId="1"/>
            </x14:iconSet>
          </x14:cfRule>
          <xm:sqref>CC22</xm:sqref>
        </x14:conditionalFormatting>
        <x14:conditionalFormatting xmlns:xm="http://schemas.microsoft.com/office/excel/2006/main">
          <x14:cfRule type="iconSet" priority="277" id="{B22FAD9D-7F7D-494A-92E6-F44800CE3D5F}">
            <x14:iconSet showValue="0" custom="1">
              <x14:cfvo type="percent">
                <xm:f>0</xm:f>
              </x14:cfvo>
              <x14:cfvo type="num">
                <xm:f>0</xm:f>
              </x14:cfvo>
              <x14:cfvo type="num">
                <xm:f>25</xm:f>
              </x14:cfvo>
              <x14:cfIcon iconSet="NoIcons" iconId="0"/>
              <x14:cfIcon iconSet="3TrafficLights1" iconId="2"/>
              <x14:cfIcon iconSet="4Arrows" iconId="1"/>
            </x14:iconSet>
          </x14:cfRule>
          <xm:sqref>CC24</xm:sqref>
        </x14:conditionalFormatting>
        <x14:conditionalFormatting xmlns:xm="http://schemas.microsoft.com/office/excel/2006/main">
          <x14:cfRule type="iconSet" priority="276" id="{21D1C182-8486-4B2C-99BD-BF7D9BB0F856}">
            <x14:iconSet showValue="0" custom="1">
              <x14:cfvo type="percent">
                <xm:f>0</xm:f>
              </x14:cfvo>
              <x14:cfvo type="num">
                <xm:f>-5</xm:f>
              </x14:cfvo>
              <x14:cfvo type="num">
                <xm:f>0</xm:f>
              </x14:cfvo>
              <x14:cfIcon iconSet="4Arrows" iconId="2"/>
              <x14:cfIcon iconSet="3TrafficLights1" iconId="2"/>
              <x14:cfIcon iconSet="4Arrows" iconId="1"/>
            </x14:iconSet>
          </x14:cfRule>
          <xm:sqref>CC31</xm:sqref>
        </x14:conditionalFormatting>
        <x14:conditionalFormatting xmlns:xm="http://schemas.microsoft.com/office/excel/2006/main">
          <x14:cfRule type="iconSet" priority="275" id="{0F91C8E2-4B1B-4058-8348-9A70A6B695E0}">
            <x14:iconSet showValue="0" custom="1">
              <x14:cfvo type="percent">
                <xm:f>0</xm:f>
              </x14:cfvo>
              <x14:cfvo type="num">
                <xm:f>100</xm:f>
              </x14:cfvo>
              <x14:cfvo type="num">
                <xm:f>200</xm:f>
              </x14:cfvo>
              <x14:cfIcon iconSet="4Arrows" iconId="2"/>
              <x14:cfIcon iconSet="3TrafficLights1" iconId="2"/>
              <x14:cfIcon iconSet="4Arrows" iconId="1"/>
            </x14:iconSet>
          </x14:cfRule>
          <xm:sqref>CF18</xm:sqref>
        </x14:conditionalFormatting>
        <x14:conditionalFormatting xmlns:xm="http://schemas.microsoft.com/office/excel/2006/main">
          <x14:cfRule type="iconSet" priority="274" id="{A33D0418-F1C3-42C3-AF2B-AF8CA2682F26}">
            <x14:iconSet showValue="0" custom="1">
              <x14:cfvo type="percent">
                <xm:f>0</xm:f>
              </x14:cfvo>
              <x14:cfvo type="num">
                <xm:f>50</xm:f>
              </x14:cfvo>
              <x14:cfvo type="num">
                <xm:f>100</xm:f>
              </x14:cfvo>
              <x14:cfIcon iconSet="4Arrows" iconId="2"/>
              <x14:cfIcon iconSet="3TrafficLights1" iconId="2"/>
              <x14:cfIcon iconSet="4Arrows" iconId="1"/>
            </x14:iconSet>
          </x14:cfRule>
          <xm:sqref>CF20</xm:sqref>
        </x14:conditionalFormatting>
        <x14:conditionalFormatting xmlns:xm="http://schemas.microsoft.com/office/excel/2006/main">
          <x14:cfRule type="iconSet" priority="273" id="{A1EB582B-5A98-4995-9851-025E0B194EF1}">
            <x14:iconSet showValue="0" custom="1">
              <x14:cfvo type="percent">
                <xm:f>0</xm:f>
              </x14:cfvo>
              <x14:cfvo type="num">
                <xm:f>50</xm:f>
              </x14:cfvo>
              <x14:cfvo type="num">
                <xm:f>150</xm:f>
              </x14:cfvo>
              <x14:cfIcon iconSet="4Arrows" iconId="2"/>
              <x14:cfIcon iconSet="3TrafficLights1" iconId="2"/>
              <x14:cfIcon iconSet="4Arrows" iconId="1"/>
            </x14:iconSet>
          </x14:cfRule>
          <xm:sqref>CF22</xm:sqref>
        </x14:conditionalFormatting>
        <x14:conditionalFormatting xmlns:xm="http://schemas.microsoft.com/office/excel/2006/main">
          <x14:cfRule type="iconSet" priority="272" id="{D7EC8185-B178-494E-88D5-17CCA2BE2490}">
            <x14:iconSet showValue="0" custom="1">
              <x14:cfvo type="percent">
                <xm:f>0</xm:f>
              </x14:cfvo>
              <x14:cfvo type="num">
                <xm:f>0</xm:f>
              </x14:cfvo>
              <x14:cfvo type="num">
                <xm:f>25</xm:f>
              </x14:cfvo>
              <x14:cfIcon iconSet="NoIcons" iconId="0"/>
              <x14:cfIcon iconSet="3TrafficLights1" iconId="2"/>
              <x14:cfIcon iconSet="4Arrows" iconId="1"/>
            </x14:iconSet>
          </x14:cfRule>
          <xm:sqref>CF24</xm:sqref>
        </x14:conditionalFormatting>
        <x14:conditionalFormatting xmlns:xm="http://schemas.microsoft.com/office/excel/2006/main">
          <x14:cfRule type="iconSet" priority="271" id="{FA154324-D15E-49FF-B1E6-3F8A82468756}">
            <x14:iconSet showValue="0" custom="1">
              <x14:cfvo type="percent">
                <xm:f>0</xm:f>
              </x14:cfvo>
              <x14:cfvo type="num">
                <xm:f>0</xm:f>
              </x14:cfvo>
              <x14:cfvo type="num">
                <xm:f>5</xm:f>
              </x14:cfvo>
              <x14:cfIcon iconSet="4Arrows" iconId="2"/>
              <x14:cfIcon iconSet="3TrafficLights1" iconId="2"/>
              <x14:cfIcon iconSet="4Arrows" iconId="1"/>
            </x14:iconSet>
          </x14:cfRule>
          <xm:sqref>CF31</xm:sqref>
        </x14:conditionalFormatting>
        <x14:conditionalFormatting xmlns:xm="http://schemas.microsoft.com/office/excel/2006/main">
          <x14:cfRule type="iconSet" priority="270" id="{FA9EC24E-67B5-48EC-9881-E3AF33910BA3}">
            <x14:iconSet showValue="0" custom="1">
              <x14:cfvo type="percent">
                <xm:f>0</xm:f>
              </x14:cfvo>
              <x14:cfvo type="num">
                <xm:f>50</xm:f>
              </x14:cfvo>
              <x14:cfvo type="num">
                <xm:f>150</xm:f>
              </x14:cfvo>
              <x14:cfIcon iconSet="4Arrows" iconId="2"/>
              <x14:cfIcon iconSet="3TrafficLights1" iconId="2"/>
              <x14:cfIcon iconSet="4Arrows" iconId="1"/>
            </x14:iconSet>
          </x14:cfRule>
          <xm:sqref>CI18</xm:sqref>
        </x14:conditionalFormatting>
        <x14:conditionalFormatting xmlns:xm="http://schemas.microsoft.com/office/excel/2006/main">
          <x14:cfRule type="iconSet" priority="269" id="{A534E547-CA1C-4908-87A6-69584D1E4275}">
            <x14:iconSet showValue="0" custom="1">
              <x14:cfvo type="percent">
                <xm:f>0</xm:f>
              </x14:cfvo>
              <x14:cfvo type="num">
                <xm:f>50</xm:f>
              </x14:cfvo>
              <x14:cfvo type="num">
                <xm:f>100</xm:f>
              </x14:cfvo>
              <x14:cfIcon iconSet="4Arrows" iconId="2"/>
              <x14:cfIcon iconSet="3TrafficLights1" iconId="2"/>
              <x14:cfIcon iconSet="4Arrows" iconId="1"/>
            </x14:iconSet>
          </x14:cfRule>
          <xm:sqref>CI20</xm:sqref>
        </x14:conditionalFormatting>
        <x14:conditionalFormatting xmlns:xm="http://schemas.microsoft.com/office/excel/2006/main">
          <x14:cfRule type="iconSet" priority="268" id="{F2DBEE71-36D0-4FE1-AFAD-0E76E92D6274}">
            <x14:iconSet showValue="0" custom="1">
              <x14:cfvo type="percent">
                <xm:f>0</xm:f>
              </x14:cfvo>
              <x14:cfvo type="num">
                <xm:f>50</xm:f>
              </x14:cfvo>
              <x14:cfvo type="num">
                <xm:f>75</xm:f>
              </x14:cfvo>
              <x14:cfIcon iconSet="4Arrows" iconId="2"/>
              <x14:cfIcon iconSet="3TrafficLights1" iconId="2"/>
              <x14:cfIcon iconSet="4Arrows" iconId="1"/>
            </x14:iconSet>
          </x14:cfRule>
          <xm:sqref>CI22</xm:sqref>
        </x14:conditionalFormatting>
        <x14:conditionalFormatting xmlns:xm="http://schemas.microsoft.com/office/excel/2006/main">
          <x14:cfRule type="iconSet" priority="267" id="{6538CF83-4F35-4C12-87FF-0D2EB688EDA6}">
            <x14:iconSet showValue="0" custom="1">
              <x14:cfvo type="percent">
                <xm:f>0</xm:f>
              </x14:cfvo>
              <x14:cfvo type="num">
                <xm:f>15</xm:f>
              </x14:cfvo>
              <x14:cfvo type="num">
                <xm:f>35</xm:f>
              </x14:cfvo>
              <x14:cfIcon iconSet="4Arrows" iconId="2"/>
              <x14:cfIcon iconSet="3TrafficLights1" iconId="2"/>
              <x14:cfIcon iconSet="4Arrows" iconId="1"/>
            </x14:iconSet>
          </x14:cfRule>
          <xm:sqref>CI24</xm:sqref>
        </x14:conditionalFormatting>
        <x14:conditionalFormatting xmlns:xm="http://schemas.microsoft.com/office/excel/2006/main">
          <x14:cfRule type="iconSet" priority="266" id="{6C0F02CD-CB79-41D6-A444-481EC3997EFB}">
            <x14:iconSet showValue="0" custom="1">
              <x14:cfvo type="percent">
                <xm:f>0</xm:f>
              </x14:cfvo>
              <x14:cfvo type="num">
                <xm:f>2</xm:f>
              </x14:cfvo>
              <x14:cfvo type="num">
                <xm:f>7</xm:f>
              </x14:cfvo>
              <x14:cfIcon iconSet="4Arrows" iconId="2"/>
              <x14:cfIcon iconSet="3TrafficLights1" iconId="2"/>
              <x14:cfIcon iconSet="4Arrows" iconId="1"/>
            </x14:iconSet>
          </x14:cfRule>
          <xm:sqref>CI31</xm:sqref>
        </x14:conditionalFormatting>
        <x14:conditionalFormatting xmlns:xm="http://schemas.microsoft.com/office/excel/2006/main">
          <x14:cfRule type="iconSet" priority="265" id="{8DAF9E1D-FCA5-4F98-A28D-455F283CEEC1}">
            <x14:iconSet showValue="0" custom="1">
              <x14:cfvo type="percent">
                <xm:f>0</xm:f>
              </x14:cfvo>
              <x14:cfvo type="num">
                <xm:f>0</xm:f>
              </x14:cfvo>
              <x14:cfvo type="num">
                <xm:f>50</xm:f>
              </x14:cfvo>
              <x14:cfIcon iconSet="NoIcons" iconId="0"/>
              <x14:cfIcon iconSet="3TrafficLights1" iconId="2"/>
              <x14:cfIcon iconSet="4Arrows" iconId="1"/>
            </x14:iconSet>
          </x14:cfRule>
          <xm:sqref>CL18</xm:sqref>
        </x14:conditionalFormatting>
        <x14:conditionalFormatting xmlns:xm="http://schemas.microsoft.com/office/excel/2006/main">
          <x14:cfRule type="iconSet" priority="264" id="{31AF5CA4-0C1C-4929-A8D4-A5A2D9B853ED}">
            <x14:iconSet showValue="0" custom="1">
              <x14:cfvo type="percent">
                <xm:f>0</xm:f>
              </x14:cfvo>
              <x14:cfvo type="num">
                <xm:f>50</xm:f>
              </x14:cfvo>
              <x14:cfvo type="num">
                <xm:f>100</xm:f>
              </x14:cfvo>
              <x14:cfIcon iconSet="4Arrows" iconId="2"/>
              <x14:cfIcon iconSet="3TrafficLights1" iconId="2"/>
              <x14:cfIcon iconSet="4Arrows" iconId="1"/>
            </x14:iconSet>
          </x14:cfRule>
          <xm:sqref>CL20</xm:sqref>
        </x14:conditionalFormatting>
        <x14:conditionalFormatting xmlns:xm="http://schemas.microsoft.com/office/excel/2006/main">
          <x14:cfRule type="iconSet" priority="263" id="{A17F7900-8200-4462-A2C0-A1ADED721E91}">
            <x14:iconSet showValue="0" custom="1">
              <x14:cfvo type="percent">
                <xm:f>0</xm:f>
              </x14:cfvo>
              <x14:cfvo type="num">
                <xm:f>50</xm:f>
              </x14:cfvo>
              <x14:cfvo type="num">
                <xm:f>100</xm:f>
              </x14:cfvo>
              <x14:cfIcon iconSet="4Arrows" iconId="2"/>
              <x14:cfIcon iconSet="3TrafficLights1" iconId="2"/>
              <x14:cfIcon iconSet="4Arrows" iconId="1"/>
            </x14:iconSet>
          </x14:cfRule>
          <xm:sqref>CL22</xm:sqref>
        </x14:conditionalFormatting>
        <x14:conditionalFormatting xmlns:xm="http://schemas.microsoft.com/office/excel/2006/main">
          <x14:cfRule type="iconSet" priority="262" id="{811E2F76-4D78-4B0F-9031-01FC328E8381}">
            <x14:iconSet showValue="0" custom="1">
              <x14:cfvo type="percent">
                <xm:f>0</xm:f>
              </x14:cfvo>
              <x14:cfvo type="num">
                <xm:f>0</xm:f>
              </x14:cfvo>
              <x14:cfvo type="num">
                <xm:f>20</xm:f>
              </x14:cfvo>
              <x14:cfIcon iconSet="NoIcons" iconId="0"/>
              <x14:cfIcon iconSet="3TrafficLights1" iconId="2"/>
              <x14:cfIcon iconSet="4Arrows" iconId="1"/>
            </x14:iconSet>
          </x14:cfRule>
          <xm:sqref>CL24</xm:sqref>
        </x14:conditionalFormatting>
        <x14:conditionalFormatting xmlns:xm="http://schemas.microsoft.com/office/excel/2006/main">
          <x14:cfRule type="iconSet" priority="261" id="{6C5BF222-542D-4966-95F5-D0586EA74356}">
            <x14:iconSet showValue="0" custom="1">
              <x14:cfvo type="percent">
                <xm:f>0</xm:f>
              </x14:cfvo>
              <x14:cfvo type="num">
                <xm:f>5</xm:f>
              </x14:cfvo>
              <x14:cfvo type="num">
                <xm:f>10</xm:f>
              </x14:cfvo>
              <x14:cfIcon iconSet="4Arrows" iconId="2"/>
              <x14:cfIcon iconSet="3TrafficLights1" iconId="2"/>
              <x14:cfIcon iconSet="4Arrows" iconId="1"/>
            </x14:iconSet>
          </x14:cfRule>
          <xm:sqref>CL31</xm:sqref>
        </x14:conditionalFormatting>
        <x14:conditionalFormatting xmlns:xm="http://schemas.microsoft.com/office/excel/2006/main">
          <x14:cfRule type="iconSet" priority="260" id="{D5684502-FE1B-4C3B-BF22-227AC6F535CB}">
            <x14:iconSet showValue="0" custom="1">
              <x14:cfvo type="percent">
                <xm:f>0</xm:f>
              </x14:cfvo>
              <x14:cfvo type="num">
                <xm:f>0</xm:f>
              </x14:cfvo>
              <x14:cfvo type="num">
                <xm:f>50</xm:f>
              </x14:cfvo>
              <x14:cfIcon iconSet="NoIcons" iconId="0"/>
              <x14:cfIcon iconSet="3TrafficLights1" iconId="2"/>
              <x14:cfIcon iconSet="4Arrows" iconId="1"/>
            </x14:iconSet>
          </x14:cfRule>
          <xm:sqref>CO18</xm:sqref>
        </x14:conditionalFormatting>
        <x14:conditionalFormatting xmlns:xm="http://schemas.microsoft.com/office/excel/2006/main">
          <x14:cfRule type="iconSet" priority="259" id="{4A30D259-D33B-42F5-B416-BF048CB2452D}">
            <x14:iconSet showValue="0" custom="1">
              <x14:cfvo type="percent">
                <xm:f>0</xm:f>
              </x14:cfvo>
              <x14:cfvo type="num">
                <xm:f>0</xm:f>
              </x14:cfvo>
              <x14:cfvo type="num">
                <xm:f>100</xm:f>
              </x14:cfvo>
              <x14:cfIcon iconSet="NoIcons" iconId="0"/>
              <x14:cfIcon iconSet="3TrafficLights1" iconId="2"/>
              <x14:cfIcon iconSet="4Arrows" iconId="1"/>
            </x14:iconSet>
          </x14:cfRule>
          <xm:sqref>CO20</xm:sqref>
        </x14:conditionalFormatting>
        <x14:conditionalFormatting xmlns:xm="http://schemas.microsoft.com/office/excel/2006/main">
          <x14:cfRule type="iconSet" priority="258" id="{14C29E79-AF62-4312-BA3C-CA7B3A1DC63F}">
            <x14:iconSet showValue="0" custom="1">
              <x14:cfvo type="percent">
                <xm:f>0</xm:f>
              </x14:cfvo>
              <x14:cfvo type="num">
                <xm:f>50</xm:f>
              </x14:cfvo>
              <x14:cfvo type="num">
                <xm:f>100</xm:f>
              </x14:cfvo>
              <x14:cfIcon iconSet="4Arrows" iconId="2"/>
              <x14:cfIcon iconSet="3TrafficLights1" iconId="2"/>
              <x14:cfIcon iconSet="4Arrows" iconId="1"/>
            </x14:iconSet>
          </x14:cfRule>
          <xm:sqref>CO22</xm:sqref>
        </x14:conditionalFormatting>
        <x14:conditionalFormatting xmlns:xm="http://schemas.microsoft.com/office/excel/2006/main">
          <x14:cfRule type="iconSet" priority="257" id="{A98D7965-BBF7-4881-A4C2-3DDED46E892C}">
            <x14:iconSet showValue="0" custom="1">
              <x14:cfvo type="percent">
                <xm:f>0</xm:f>
              </x14:cfvo>
              <x14:cfvo type="num">
                <xm:f>0</xm:f>
              </x14:cfvo>
              <x14:cfvo type="num">
                <xm:f>25</xm:f>
              </x14:cfvo>
              <x14:cfIcon iconSet="NoIcons" iconId="0"/>
              <x14:cfIcon iconSet="3TrafficLights1" iconId="2"/>
              <x14:cfIcon iconSet="4Arrows" iconId="1"/>
            </x14:iconSet>
          </x14:cfRule>
          <xm:sqref>CO24</xm:sqref>
        </x14:conditionalFormatting>
        <x14:conditionalFormatting xmlns:xm="http://schemas.microsoft.com/office/excel/2006/main">
          <x14:cfRule type="iconSet" priority="256" id="{F201F0DF-1B0B-467F-8F03-B5AE00731DCD}">
            <x14:iconSet showValue="0" custom="1">
              <x14:cfvo type="percent">
                <xm:f>0</xm:f>
              </x14:cfvo>
              <x14:cfvo type="num">
                <xm:f>-3</xm:f>
              </x14:cfvo>
              <x14:cfvo type="num">
                <xm:f>0</xm:f>
              </x14:cfvo>
              <x14:cfIcon iconSet="4Arrows" iconId="2"/>
              <x14:cfIcon iconSet="3TrafficLights1" iconId="2"/>
              <x14:cfIcon iconSet="4Arrows" iconId="1"/>
            </x14:iconSet>
          </x14:cfRule>
          <xm:sqref>CO31</xm:sqref>
        </x14:conditionalFormatting>
        <x14:conditionalFormatting xmlns:xm="http://schemas.microsoft.com/office/excel/2006/main">
          <x14:cfRule type="iconSet" priority="255" id="{A564E5D8-7C44-4619-8EAF-53305CC42B95}">
            <x14:iconSet showValue="0" custom="1">
              <x14:cfvo type="percent">
                <xm:f>0</xm:f>
              </x14:cfvo>
              <x14:cfvo type="num">
                <xm:f>100</xm:f>
              </x14:cfvo>
              <x14:cfvo type="num">
                <xm:f>400</xm:f>
              </x14:cfvo>
              <x14:cfIcon iconSet="4Arrows" iconId="2"/>
              <x14:cfIcon iconSet="3TrafficLights1" iconId="2"/>
              <x14:cfIcon iconSet="4Arrows" iconId="1"/>
            </x14:iconSet>
          </x14:cfRule>
          <xm:sqref>CR18</xm:sqref>
        </x14:conditionalFormatting>
        <x14:conditionalFormatting xmlns:xm="http://schemas.microsoft.com/office/excel/2006/main">
          <x14:cfRule type="iconSet" priority="254" id="{2DCCC8B7-E990-45FE-A413-F439CD4C8745}">
            <x14:iconSet showValue="0" custom="1">
              <x14:cfvo type="percent">
                <xm:f>0</xm:f>
              </x14:cfvo>
              <x14:cfvo type="num">
                <xm:f>0</xm:f>
              </x14:cfvo>
              <x14:cfvo type="num">
                <xm:f>100</xm:f>
              </x14:cfvo>
              <x14:cfIcon iconSet="NoIcons" iconId="0"/>
              <x14:cfIcon iconSet="3TrafficLights1" iconId="2"/>
              <x14:cfIcon iconSet="4Arrows" iconId="1"/>
            </x14:iconSet>
          </x14:cfRule>
          <xm:sqref>CR20</xm:sqref>
        </x14:conditionalFormatting>
        <x14:conditionalFormatting xmlns:xm="http://schemas.microsoft.com/office/excel/2006/main">
          <x14:cfRule type="iconSet" priority="253" id="{99244681-19DD-4722-9679-11A053E71944}">
            <x14:iconSet showValue="0" custom="1">
              <x14:cfvo type="percent">
                <xm:f>0</xm:f>
              </x14:cfvo>
              <x14:cfvo type="num">
                <xm:f>50</xm:f>
              </x14:cfvo>
              <x14:cfvo type="num">
                <xm:f>150</xm:f>
              </x14:cfvo>
              <x14:cfIcon iconSet="4Arrows" iconId="2"/>
              <x14:cfIcon iconSet="3TrafficLights1" iconId="2"/>
              <x14:cfIcon iconSet="4Arrows" iconId="1"/>
            </x14:iconSet>
          </x14:cfRule>
          <xm:sqref>CR22</xm:sqref>
        </x14:conditionalFormatting>
        <x14:conditionalFormatting xmlns:xm="http://schemas.microsoft.com/office/excel/2006/main">
          <x14:cfRule type="iconSet" priority="252" id="{8260EE03-3628-432F-8569-96DEC208BD7E}">
            <x14:iconSet showValue="0" custom="1">
              <x14:cfvo type="percent">
                <xm:f>0</xm:f>
              </x14:cfvo>
              <x14:cfvo type="num">
                <xm:f>0</xm:f>
              </x14:cfvo>
              <x14:cfvo type="num">
                <xm:f>20</xm:f>
              </x14:cfvo>
              <x14:cfIcon iconSet="NoIcons" iconId="0"/>
              <x14:cfIcon iconSet="3TrafficLights1" iconId="2"/>
              <x14:cfIcon iconSet="4Arrows" iconId="1"/>
            </x14:iconSet>
          </x14:cfRule>
          <xm:sqref>CR24</xm:sqref>
        </x14:conditionalFormatting>
        <x14:conditionalFormatting xmlns:xm="http://schemas.microsoft.com/office/excel/2006/main">
          <x14:cfRule type="iconSet" priority="251" id="{458651DA-CF57-4620-B6A8-A46C6FEBD230}">
            <x14:iconSet showValue="0" custom="1">
              <x14:cfvo type="percent">
                <xm:f>0</xm:f>
              </x14:cfvo>
              <x14:cfvo type="num">
                <xm:f>-3</xm:f>
              </x14:cfvo>
              <x14:cfvo type="num">
                <xm:f>0</xm:f>
              </x14:cfvo>
              <x14:cfIcon iconSet="4Arrows" iconId="2"/>
              <x14:cfIcon iconSet="3TrafficLights1" iconId="2"/>
              <x14:cfIcon iconSet="4Arrows" iconId="1"/>
            </x14:iconSet>
          </x14:cfRule>
          <xm:sqref>CR31</xm:sqref>
        </x14:conditionalFormatting>
        <x14:conditionalFormatting xmlns:xm="http://schemas.microsoft.com/office/excel/2006/main">
          <x14:cfRule type="iconSet" priority="250" id="{9B7A721B-BD09-4F34-97E5-DF253C131CFF}">
            <x14:iconSet showValue="0" custom="1">
              <x14:cfvo type="percent">
                <xm:f>0</xm:f>
              </x14:cfvo>
              <x14:cfvo type="num">
                <xm:f>100</xm:f>
              </x14:cfvo>
              <x14:cfvo type="num">
                <xm:f>300</xm:f>
              </x14:cfvo>
              <x14:cfIcon iconSet="4Arrows" iconId="2"/>
              <x14:cfIcon iconSet="3TrafficLights1" iconId="2"/>
              <x14:cfIcon iconSet="4Arrows" iconId="1"/>
            </x14:iconSet>
          </x14:cfRule>
          <xm:sqref>CU18</xm:sqref>
        </x14:conditionalFormatting>
        <x14:conditionalFormatting xmlns:xm="http://schemas.microsoft.com/office/excel/2006/main">
          <x14:cfRule type="iconSet" priority="249" id="{67C87E85-D7E2-4D1B-A1D9-309244058C43}">
            <x14:iconSet showValue="0" custom="1">
              <x14:cfvo type="percent">
                <xm:f>0</xm:f>
              </x14:cfvo>
              <x14:cfvo type="num">
                <xm:f>50</xm:f>
              </x14:cfvo>
              <x14:cfvo type="num">
                <xm:f>100</xm:f>
              </x14:cfvo>
              <x14:cfIcon iconSet="4Arrows" iconId="2"/>
              <x14:cfIcon iconSet="3TrafficLights1" iconId="2"/>
              <x14:cfIcon iconSet="4Arrows" iconId="1"/>
            </x14:iconSet>
          </x14:cfRule>
          <xm:sqref>CU20</xm:sqref>
        </x14:conditionalFormatting>
        <x14:conditionalFormatting xmlns:xm="http://schemas.microsoft.com/office/excel/2006/main">
          <x14:cfRule type="iconSet" priority="248" id="{0256DA33-848F-41E2-9EFD-59EB4B898FFD}">
            <x14:iconSet showValue="0" custom="1">
              <x14:cfvo type="percent">
                <xm:f>0</xm:f>
              </x14:cfvo>
              <x14:cfvo type="num">
                <xm:f>50</xm:f>
              </x14:cfvo>
              <x14:cfvo type="num">
                <xm:f>150</xm:f>
              </x14:cfvo>
              <x14:cfIcon iconSet="4Arrows" iconId="2"/>
              <x14:cfIcon iconSet="3TrafficLights1" iconId="2"/>
              <x14:cfIcon iconSet="4Arrows" iconId="1"/>
            </x14:iconSet>
          </x14:cfRule>
          <xm:sqref>CU22</xm:sqref>
        </x14:conditionalFormatting>
        <x14:conditionalFormatting xmlns:xm="http://schemas.microsoft.com/office/excel/2006/main">
          <x14:cfRule type="iconSet" priority="247" id="{E219AD1B-8663-40D3-9178-64B730561D08}">
            <x14:iconSet showValue="0" custom="1">
              <x14:cfvo type="percent">
                <xm:f>0</xm:f>
              </x14:cfvo>
              <x14:cfvo type="num">
                <xm:f>0</xm:f>
              </x14:cfvo>
              <x14:cfvo type="num">
                <xm:f>25</xm:f>
              </x14:cfvo>
              <x14:cfIcon iconSet="NoIcons" iconId="0"/>
              <x14:cfIcon iconSet="3TrafficLights1" iconId="2"/>
              <x14:cfIcon iconSet="4Arrows" iconId="1"/>
            </x14:iconSet>
          </x14:cfRule>
          <xm:sqref>CU24</xm:sqref>
        </x14:conditionalFormatting>
        <x14:conditionalFormatting xmlns:xm="http://schemas.microsoft.com/office/excel/2006/main">
          <x14:cfRule type="iconSet" priority="246" id="{47F9AD33-657B-41DF-B964-5F1B90999CF1}">
            <x14:iconSet showValue="0" custom="1">
              <x14:cfvo type="percent">
                <xm:f>0</xm:f>
              </x14:cfvo>
              <x14:cfvo type="num">
                <xm:f>0</xm:f>
              </x14:cfvo>
              <x14:cfvo type="num">
                <xm:f>5</xm:f>
              </x14:cfvo>
              <x14:cfIcon iconSet="4Arrows" iconId="2"/>
              <x14:cfIcon iconSet="3TrafficLights1" iconId="2"/>
              <x14:cfIcon iconSet="4Arrows" iconId="1"/>
            </x14:iconSet>
          </x14:cfRule>
          <xm:sqref>CU31</xm:sqref>
        </x14:conditionalFormatting>
        <x14:conditionalFormatting xmlns:xm="http://schemas.microsoft.com/office/excel/2006/main">
          <x14:cfRule type="iconSet" priority="245" id="{D6FA7C1C-445E-4B89-A8B8-D797ACD4A3CD}">
            <x14:iconSet showValue="0" custom="1">
              <x14:cfvo type="percent">
                <xm:f>0</xm:f>
              </x14:cfvo>
              <x14:cfvo type="num">
                <xm:f>50</xm:f>
              </x14:cfvo>
              <x14:cfvo type="num">
                <xm:f>150</xm:f>
              </x14:cfvo>
              <x14:cfIcon iconSet="4Arrows" iconId="2"/>
              <x14:cfIcon iconSet="3TrafficLights1" iconId="2"/>
              <x14:cfIcon iconSet="4Arrows" iconId="1"/>
            </x14:iconSet>
          </x14:cfRule>
          <xm:sqref>CX18</xm:sqref>
        </x14:conditionalFormatting>
        <x14:conditionalFormatting xmlns:xm="http://schemas.microsoft.com/office/excel/2006/main">
          <x14:cfRule type="iconSet" priority="244" id="{86A9CF4F-D983-4509-A206-F0D7A466C1C7}">
            <x14:iconSet showValue="0" custom="1">
              <x14:cfvo type="percent">
                <xm:f>0</xm:f>
              </x14:cfvo>
              <x14:cfvo type="num">
                <xm:f>50</xm:f>
              </x14:cfvo>
              <x14:cfvo type="num">
                <xm:f>150</xm:f>
              </x14:cfvo>
              <x14:cfIcon iconSet="4Arrows" iconId="2"/>
              <x14:cfIcon iconSet="3TrafficLights1" iconId="2"/>
              <x14:cfIcon iconSet="4Arrows" iconId="1"/>
            </x14:iconSet>
          </x14:cfRule>
          <xm:sqref>CX20</xm:sqref>
        </x14:conditionalFormatting>
        <x14:conditionalFormatting xmlns:xm="http://schemas.microsoft.com/office/excel/2006/main">
          <x14:cfRule type="iconSet" priority="243" id="{0CAFFD89-904E-4617-9746-C791C7BD1926}">
            <x14:iconSet showValue="0" custom="1">
              <x14:cfvo type="percent">
                <xm:f>0</xm:f>
              </x14:cfvo>
              <x14:cfvo type="num">
                <xm:f>50</xm:f>
              </x14:cfvo>
              <x14:cfvo type="num">
                <xm:f>75</xm:f>
              </x14:cfvo>
              <x14:cfIcon iconSet="4Arrows" iconId="2"/>
              <x14:cfIcon iconSet="3TrafficLights1" iconId="2"/>
              <x14:cfIcon iconSet="4Arrows" iconId="1"/>
            </x14:iconSet>
          </x14:cfRule>
          <xm:sqref>CX22</xm:sqref>
        </x14:conditionalFormatting>
        <x14:conditionalFormatting xmlns:xm="http://schemas.microsoft.com/office/excel/2006/main">
          <x14:cfRule type="iconSet" priority="242" id="{C19893E2-BE2F-4F3C-80C2-8FEF94AAE8D2}">
            <x14:iconSet showValue="0" custom="1">
              <x14:cfvo type="percent">
                <xm:f>0</xm:f>
              </x14:cfvo>
              <x14:cfvo type="num">
                <xm:f>15</xm:f>
              </x14:cfvo>
              <x14:cfvo type="num">
                <xm:f>35</xm:f>
              </x14:cfvo>
              <x14:cfIcon iconSet="4Arrows" iconId="2"/>
              <x14:cfIcon iconSet="3TrafficLights1" iconId="2"/>
              <x14:cfIcon iconSet="4Arrows" iconId="1"/>
            </x14:iconSet>
          </x14:cfRule>
          <xm:sqref>CX24</xm:sqref>
        </x14:conditionalFormatting>
        <x14:conditionalFormatting xmlns:xm="http://schemas.microsoft.com/office/excel/2006/main">
          <x14:cfRule type="iconSet" priority="241" id="{67360283-2E1B-4A30-91CF-93B2E6F7B6CA}">
            <x14:iconSet showValue="0" custom="1">
              <x14:cfvo type="percent">
                <xm:f>0</xm:f>
              </x14:cfvo>
              <x14:cfvo type="num">
                <xm:f>5</xm:f>
              </x14:cfvo>
              <x14:cfvo type="num">
                <xm:f>10</xm:f>
              </x14:cfvo>
              <x14:cfIcon iconSet="4Arrows" iconId="2"/>
              <x14:cfIcon iconSet="3TrafficLights1" iconId="2"/>
              <x14:cfIcon iconSet="4Arrows" iconId="1"/>
            </x14:iconSet>
          </x14:cfRule>
          <xm:sqref>CX31</xm:sqref>
        </x14:conditionalFormatting>
        <x14:conditionalFormatting xmlns:xm="http://schemas.microsoft.com/office/excel/2006/main">
          <x14:cfRule type="iconSet" priority="240" id="{37A77354-8988-4828-8C48-95A619C0BD63}">
            <x14:iconSet showValue="0" custom="1">
              <x14:cfvo type="percent">
                <xm:f>0</xm:f>
              </x14:cfvo>
              <x14:cfvo type="num">
                <xm:f>50</xm:f>
              </x14:cfvo>
              <x14:cfvo type="num">
                <xm:f>100</xm:f>
              </x14:cfvo>
              <x14:cfIcon iconSet="4Arrows" iconId="2"/>
              <x14:cfIcon iconSet="3TrafficLights1" iconId="2"/>
              <x14:cfIcon iconSet="4Arrows" iconId="1"/>
            </x14:iconSet>
          </x14:cfRule>
          <xm:sqref>DA20</xm:sqref>
        </x14:conditionalFormatting>
        <x14:conditionalFormatting xmlns:xm="http://schemas.microsoft.com/office/excel/2006/main">
          <x14:cfRule type="iconSet" priority="238" id="{45F7FF26-B248-4442-8A68-8C37AC751CA6}">
            <x14:iconSet showValue="0" custom="1">
              <x14:cfvo type="percent">
                <xm:f>0</xm:f>
              </x14:cfvo>
              <x14:cfvo type="num">
                <xm:f>50</xm:f>
              </x14:cfvo>
              <x14:cfvo type="num">
                <xm:f>100</xm:f>
              </x14:cfvo>
              <x14:cfIcon iconSet="4Arrows" iconId="2"/>
              <x14:cfIcon iconSet="3TrafficLights1" iconId="2"/>
              <x14:cfIcon iconSet="4Arrows" iconId="1"/>
            </x14:iconSet>
          </x14:cfRule>
          <xm:sqref>DA18</xm:sqref>
        </x14:conditionalFormatting>
        <x14:conditionalFormatting xmlns:xm="http://schemas.microsoft.com/office/excel/2006/main">
          <x14:cfRule type="iconSet" priority="237" id="{7440037D-0147-4932-A07F-10208E1986B2}">
            <x14:iconSet showValue="0" custom="1">
              <x14:cfvo type="percent">
                <xm:f>0</xm:f>
              </x14:cfvo>
              <x14:cfvo type="num">
                <xm:f>50</xm:f>
              </x14:cfvo>
              <x14:cfvo type="num">
                <xm:f>100</xm:f>
              </x14:cfvo>
              <x14:cfIcon iconSet="4Arrows" iconId="2"/>
              <x14:cfIcon iconSet="3TrafficLights1" iconId="2"/>
              <x14:cfIcon iconSet="4Arrows" iconId="1"/>
            </x14:iconSet>
          </x14:cfRule>
          <xm:sqref>DA22</xm:sqref>
        </x14:conditionalFormatting>
        <x14:conditionalFormatting xmlns:xm="http://schemas.microsoft.com/office/excel/2006/main">
          <x14:cfRule type="iconSet" priority="236" id="{920D4D6B-7B7E-40CF-9852-699CBE2296F6}">
            <x14:iconSet showValue="0" custom="1">
              <x14:cfvo type="percent">
                <xm:f>0</xm:f>
              </x14:cfvo>
              <x14:cfvo type="num">
                <xm:f>0</xm:f>
              </x14:cfvo>
              <x14:cfvo type="num">
                <xm:f>20</xm:f>
              </x14:cfvo>
              <x14:cfIcon iconSet="NoIcons" iconId="0"/>
              <x14:cfIcon iconSet="3TrafficLights1" iconId="2"/>
              <x14:cfIcon iconSet="4Arrows" iconId="1"/>
            </x14:iconSet>
          </x14:cfRule>
          <xm:sqref>DA24</xm:sqref>
        </x14:conditionalFormatting>
        <x14:conditionalFormatting xmlns:xm="http://schemas.microsoft.com/office/excel/2006/main">
          <x14:cfRule type="iconSet" priority="235" id="{89F89EAD-B94D-4792-B224-A655E216B2AC}">
            <x14:iconSet showValue="0" custom="1">
              <x14:cfvo type="percent">
                <xm:f>0</xm:f>
              </x14:cfvo>
              <x14:cfvo type="num">
                <xm:f>-1</xm:f>
              </x14:cfvo>
              <x14:cfvo type="num">
                <xm:f>1</xm:f>
              </x14:cfvo>
              <x14:cfIcon iconSet="4Arrows" iconId="2"/>
              <x14:cfIcon iconSet="3TrafficLights1" iconId="2"/>
              <x14:cfIcon iconSet="4Arrows" iconId="1"/>
            </x14:iconSet>
          </x14:cfRule>
          <xm:sqref>DA31</xm:sqref>
        </x14:conditionalFormatting>
        <x14:conditionalFormatting xmlns:xm="http://schemas.microsoft.com/office/excel/2006/main">
          <x14:cfRule type="iconSet" priority="234" id="{5C6E936E-AE7E-4F74-AD32-E8360907BD3F}">
            <x14:iconSet showValue="0" custom="1">
              <x14:cfvo type="percent">
                <xm:f>0</xm:f>
              </x14:cfvo>
              <x14:cfvo type="num">
                <xm:f>50</xm:f>
              </x14:cfvo>
              <x14:cfvo type="num">
                <xm:f>100</xm:f>
              </x14:cfvo>
              <x14:cfIcon iconSet="4Arrows" iconId="2"/>
              <x14:cfIcon iconSet="3TrafficLights1" iconId="2"/>
              <x14:cfIcon iconSet="4Arrows" iconId="1"/>
            </x14:iconSet>
          </x14:cfRule>
          <xm:sqref>DD18</xm:sqref>
        </x14:conditionalFormatting>
        <x14:conditionalFormatting xmlns:xm="http://schemas.microsoft.com/office/excel/2006/main">
          <x14:cfRule type="iconSet" priority="233" id="{A0E3E636-6021-46A3-A333-9445818197EB}">
            <x14:iconSet showValue="0" custom="1">
              <x14:cfvo type="percent">
                <xm:f>0</xm:f>
              </x14:cfvo>
              <x14:cfvo type="num">
                <xm:f>50</xm:f>
              </x14:cfvo>
              <x14:cfvo type="num">
                <xm:f>150</xm:f>
              </x14:cfvo>
              <x14:cfIcon iconSet="4Arrows" iconId="2"/>
              <x14:cfIcon iconSet="3TrafficLights1" iconId="2"/>
              <x14:cfIcon iconSet="4Arrows" iconId="1"/>
            </x14:iconSet>
          </x14:cfRule>
          <xm:sqref>DD20</xm:sqref>
        </x14:conditionalFormatting>
        <x14:conditionalFormatting xmlns:xm="http://schemas.microsoft.com/office/excel/2006/main">
          <x14:cfRule type="iconSet" priority="232" id="{3E148092-D251-453A-881B-33E061548388}">
            <x14:iconSet showValue="0" custom="1">
              <x14:cfvo type="percent">
                <xm:f>0</xm:f>
              </x14:cfvo>
              <x14:cfvo type="num">
                <xm:f>50</xm:f>
              </x14:cfvo>
              <x14:cfvo type="num">
                <xm:f>100</xm:f>
              </x14:cfvo>
              <x14:cfIcon iconSet="4Arrows" iconId="2"/>
              <x14:cfIcon iconSet="3TrafficLights1" iconId="2"/>
              <x14:cfIcon iconSet="4Arrows" iconId="1"/>
            </x14:iconSet>
          </x14:cfRule>
          <xm:sqref>DD22</xm:sqref>
        </x14:conditionalFormatting>
        <x14:conditionalFormatting xmlns:xm="http://schemas.microsoft.com/office/excel/2006/main">
          <x14:cfRule type="iconSet" priority="231" id="{590925B4-AC28-4A80-94CB-A272FCF3E8A2}">
            <x14:iconSet showValue="0" custom="1">
              <x14:cfvo type="percent">
                <xm:f>0</xm:f>
              </x14:cfvo>
              <x14:cfvo type="num">
                <xm:f>0</xm:f>
              </x14:cfvo>
              <x14:cfvo type="num">
                <xm:f>20</xm:f>
              </x14:cfvo>
              <x14:cfIcon iconSet="NoIcons" iconId="0"/>
              <x14:cfIcon iconSet="3TrafficLights1" iconId="2"/>
              <x14:cfIcon iconSet="4Arrows" iconId="1"/>
            </x14:iconSet>
          </x14:cfRule>
          <xm:sqref>DD24</xm:sqref>
        </x14:conditionalFormatting>
        <x14:conditionalFormatting xmlns:xm="http://schemas.microsoft.com/office/excel/2006/main">
          <x14:cfRule type="iconSet" priority="230" id="{F2002E72-9CEF-493D-9A4F-7C27A74FF94B}">
            <x14:iconSet showValue="0" custom="1">
              <x14:cfvo type="percent">
                <xm:f>0</xm:f>
              </x14:cfvo>
              <x14:cfvo type="num">
                <xm:f>0</xm:f>
              </x14:cfvo>
              <x14:cfvo type="num">
                <xm:f>5</xm:f>
              </x14:cfvo>
              <x14:cfIcon iconSet="4Arrows" iconId="2"/>
              <x14:cfIcon iconSet="3TrafficLights1" iconId="2"/>
              <x14:cfIcon iconSet="4Arrows" iconId="1"/>
            </x14:iconSet>
          </x14:cfRule>
          <xm:sqref>DD31</xm:sqref>
        </x14:conditionalFormatting>
        <x14:conditionalFormatting xmlns:xm="http://schemas.microsoft.com/office/excel/2006/main">
          <x14:cfRule type="iconSet" priority="229" id="{39AAB708-48EE-429E-ACD6-E1FC1C410C93}">
            <x14:iconSet showValue="0" custom="1">
              <x14:cfvo type="percent">
                <xm:f>0</xm:f>
              </x14:cfvo>
              <x14:cfvo type="num">
                <xm:f>50</xm:f>
              </x14:cfvo>
              <x14:cfvo type="num">
                <xm:f>150</xm:f>
              </x14:cfvo>
              <x14:cfIcon iconSet="4Arrows" iconId="2"/>
              <x14:cfIcon iconSet="3TrafficLights1" iconId="2"/>
              <x14:cfIcon iconSet="4Arrows" iconId="1"/>
            </x14:iconSet>
          </x14:cfRule>
          <xm:sqref>DF20 DG15:DH17</xm:sqref>
        </x14:conditionalFormatting>
        <x14:conditionalFormatting xmlns:xm="http://schemas.microsoft.com/office/excel/2006/main">
          <x14:cfRule type="iconSet" priority="228" id="{5E24AB7E-0010-4C86-98A7-3492289B152C}">
            <x14:iconSet showValue="0" custom="1">
              <x14:cfvo type="percent">
                <xm:f>0</xm:f>
              </x14:cfvo>
              <x14:cfvo type="num">
                <xm:f>50</xm:f>
              </x14:cfvo>
              <x14:cfvo type="num">
                <xm:f>150</xm:f>
              </x14:cfvo>
              <x14:cfIcon iconSet="4Arrows" iconId="2"/>
              <x14:cfIcon iconSet="3TrafficLights1" iconId="2"/>
              <x14:cfIcon iconSet="4Arrows" iconId="1"/>
            </x14:iconSet>
          </x14:cfRule>
          <xm:sqref>DF18 DG14:DH14</xm:sqref>
        </x14:conditionalFormatting>
        <x14:conditionalFormatting xmlns:xm="http://schemas.microsoft.com/office/excel/2006/main">
          <x14:cfRule type="iconSet" priority="227" id="{57169E96-92AB-46FD-AEDA-086B8B17DCB0}">
            <x14:iconSet showValue="0" custom="1">
              <x14:cfvo type="percent">
                <xm:f>0</xm:f>
              </x14:cfvo>
              <x14:cfvo type="num">
                <xm:f>50</xm:f>
              </x14:cfvo>
              <x14:cfvo type="num">
                <xm:f>75</xm:f>
              </x14:cfvo>
              <x14:cfIcon iconSet="4Arrows" iconId="2"/>
              <x14:cfIcon iconSet="3TrafficLights1" iconId="2"/>
              <x14:cfIcon iconSet="4Arrows" iconId="1"/>
            </x14:iconSet>
          </x14:cfRule>
          <xm:sqref>DF22:DH22</xm:sqref>
        </x14:conditionalFormatting>
        <x14:conditionalFormatting xmlns:xm="http://schemas.microsoft.com/office/excel/2006/main">
          <x14:cfRule type="iconSet" priority="226" id="{C7D5AEF5-136A-45E8-8004-AF4A38CB7AB8}">
            <x14:iconSet showValue="0" custom="1">
              <x14:cfvo type="percent">
                <xm:f>0</xm:f>
              </x14:cfvo>
              <x14:cfvo type="num">
                <xm:f>0</xm:f>
              </x14:cfvo>
              <x14:cfvo type="num">
                <xm:f>25</xm:f>
              </x14:cfvo>
              <x14:cfIcon iconSet="NoIcons" iconId="0"/>
              <x14:cfIcon iconSet="3TrafficLights1" iconId="2"/>
              <x14:cfIcon iconSet="4Arrows" iconId="1"/>
            </x14:iconSet>
          </x14:cfRule>
          <xm:sqref>DG23:DH23 DF24</xm:sqref>
        </x14:conditionalFormatting>
        <x14:conditionalFormatting xmlns:xm="http://schemas.microsoft.com/office/excel/2006/main">
          <x14:cfRule type="iconSet" priority="225" id="{855875D3-E732-42A1-817C-6335AA5655BE}">
            <x14:iconSet showValue="0" custom="1">
              <x14:cfvo type="percent">
                <xm:f>0</xm:f>
              </x14:cfvo>
              <x14:cfvo type="num">
                <xm:f>8</xm:f>
              </x14:cfvo>
              <x14:cfvo type="num">
                <xm:f>15</xm:f>
              </x14:cfvo>
              <x14:cfIcon iconSet="4Arrows" iconId="2"/>
              <x14:cfIcon iconSet="3TrafficLights1" iconId="2"/>
              <x14:cfIcon iconSet="4Arrows" iconId="1"/>
            </x14:iconSet>
          </x14:cfRule>
          <xm:sqref>DF31 DG34:DH34</xm:sqref>
        </x14:conditionalFormatting>
        <x14:conditionalFormatting xmlns:xm="http://schemas.microsoft.com/office/excel/2006/main">
          <x14:cfRule type="iconSet" priority="128" id="{74A0BFFA-EB30-4B05-BCB1-46BA6A585524}">
            <x14:iconSet showValue="0" custom="1">
              <x14:cfvo type="percent">
                <xm:f>0</xm:f>
              </x14:cfvo>
              <x14:cfvo type="num">
                <xm:f>50</xm:f>
              </x14:cfvo>
              <x14:cfvo type="num">
                <xm:f>150</xm:f>
              </x14:cfvo>
              <x14:cfIcon iconSet="4Arrows" iconId="2"/>
              <x14:cfIcon iconSet="3TrafficLights1" iconId="2"/>
              <x14:cfIcon iconSet="4Arrows" iconId="1"/>
            </x14:iconSet>
          </x14:cfRule>
          <xm:sqref>BA18</xm:sqref>
        </x14:conditionalFormatting>
        <x14:conditionalFormatting xmlns:xm="http://schemas.microsoft.com/office/excel/2006/main">
          <x14:cfRule type="iconSet" priority="126" id="{54A23BDB-628A-4403-9B19-964A2258560C}">
            <x14:iconSet showValue="0" custom="1">
              <x14:cfvo type="percent">
                <xm:f>0</xm:f>
              </x14:cfvo>
              <x14:cfvo type="num">
                <xm:f>50</xm:f>
              </x14:cfvo>
              <x14:cfvo type="num">
                <xm:f>75</xm:f>
              </x14:cfvo>
              <x14:cfIcon iconSet="4Arrows" iconId="2"/>
              <x14:cfIcon iconSet="3TrafficLights1" iconId="2"/>
              <x14:cfIcon iconSet="4Arrows" iconId="1"/>
            </x14:iconSet>
          </x14:cfRule>
          <xm:sqref>BA23</xm:sqref>
        </x14:conditionalFormatting>
        <x14:conditionalFormatting xmlns:xm="http://schemas.microsoft.com/office/excel/2006/main">
          <x14:cfRule type="iconSet" priority="125" id="{BD3C9A5E-EC77-44FC-9987-FEA555461C95}">
            <x14:iconSet showValue="0" custom="1">
              <x14:cfvo type="percent">
                <xm:f>0</xm:f>
              </x14:cfvo>
              <x14:cfvo type="num">
                <xm:f>0</xm:f>
              </x14:cfvo>
              <x14:cfvo type="num">
                <xm:f>25</xm:f>
              </x14:cfvo>
              <x14:cfIcon iconSet="NoIcons" iconId="0"/>
              <x14:cfIcon iconSet="3TrafficLights1" iconId="2"/>
              <x14:cfIcon iconSet="4Arrows" iconId="1"/>
            </x14:iconSet>
          </x14:cfRule>
          <xm:sqref>BA24</xm:sqref>
        </x14:conditionalFormatting>
        <x14:conditionalFormatting xmlns:xm="http://schemas.microsoft.com/office/excel/2006/main">
          <x14:cfRule type="iconSet" priority="124" id="{F6985168-9A40-45DF-85E6-7BC037BEFC6D}">
            <x14:iconSet showValue="0" custom="1">
              <x14:cfvo type="percent">
                <xm:f>0</xm:f>
              </x14:cfvo>
              <x14:cfvo type="num">
                <xm:f>8</xm:f>
              </x14:cfvo>
              <x14:cfvo type="num">
                <xm:f>15</xm:f>
              </x14:cfvo>
              <x14:cfIcon iconSet="4Arrows" iconId="2"/>
              <x14:cfIcon iconSet="3TrafficLights1" iconId="2"/>
              <x14:cfIcon iconSet="4Arrows" iconId="1"/>
            </x14:iconSet>
          </x14:cfRule>
          <xm:sqref>BA35</xm:sqref>
        </x14:conditionalFormatting>
        <x14:conditionalFormatting xmlns:xm="http://schemas.microsoft.com/office/excel/2006/main">
          <x14:cfRule type="expression" priority="358" id="{C62C3135-A7E7-4F69-B0FF-A4AE11A46DB1}">
            <xm:f>$Z$31&gt;'Wasserversorger &amp; Aufbereitung'!L4</xm:f>
            <x14:dxf>
              <font>
                <color rgb="FFC00000"/>
              </font>
              <fill>
                <patternFill>
                  <bgColor rgb="FFFF9999"/>
                </patternFill>
              </fill>
            </x14:dxf>
          </x14:cfRule>
          <xm:sqref>Z31</xm:sqref>
        </x14:conditionalFormatting>
        <x14:conditionalFormatting xmlns:xm="http://schemas.microsoft.com/office/excel/2006/main">
          <x14:cfRule type="iconSet" priority="365" id="{5210B9A5-BD3F-4EDD-BA1C-A64832767C65}">
            <x14:iconSet showValue="0" custom="1">
              <x14:cfvo type="percent">
                <xm:f>0</xm:f>
              </x14:cfvo>
              <x14:cfvo type="num">
                <xm:f>50</xm:f>
              </x14:cfvo>
              <x14:cfvo type="num">
                <xm:f>150</xm:f>
              </x14:cfvo>
              <x14:cfIcon iconSet="4Arrows" iconId="2"/>
              <x14:cfIcon iconSet="3TrafficLights1" iconId="2"/>
              <x14:cfIcon iconSet="4Arrows" iconId="1"/>
            </x14:iconSet>
          </x14:cfRule>
          <xm:sqref>BA15:BA17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'Infos &amp; Hilfseinträge'!$AS$4:$AS$48</xm:f>
          </x14:formula1>
          <xm:sqref>S16</xm:sqref>
        </x14:dataValidation>
        <x14:dataValidation type="list" allowBlank="1" showInputMessage="1" showErrorMessage="1">
          <x14:formula1>
            <xm:f>'Infos &amp; Hilfseinträge'!$V$7:$V$22</xm:f>
          </x14:formula1>
          <xm:sqref>X9</xm:sqref>
        </x14:dataValidation>
        <x14:dataValidation type="list" allowBlank="1" showInputMessage="1" showErrorMessage="1">
          <x14:formula1>
            <xm:f>'Infos &amp; Hilfseinträge'!$N$18:$N$19</xm:f>
          </x14:formula1>
          <xm:sqref>AP6 AB6 AF6 AH6 AJ6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sheetPr>
  <dimension ref="A1:BA783"/>
  <sheetViews>
    <sheetView showGridLines="0" zoomScaleNormal="100" workbookViewId="0">
      <selection activeCell="U50" sqref="U50"/>
    </sheetView>
  </sheetViews>
  <sheetFormatPr baseColWidth="10" defaultRowHeight="15" x14ac:dyDescent="0.25"/>
  <cols>
    <col min="1" max="1" width="3.42578125" style="406" customWidth="1"/>
    <col min="2" max="4" width="5.28515625" style="406" customWidth="1"/>
    <col min="5" max="5" width="7.140625" style="406" customWidth="1"/>
    <col min="6" max="10" width="5.28515625" style="406" customWidth="1"/>
    <col min="11" max="11" width="7.140625" style="406" customWidth="1"/>
    <col min="12" max="13" width="5.28515625" style="406" customWidth="1"/>
    <col min="14" max="14" width="10" style="406" customWidth="1"/>
    <col min="15" max="15" width="1.42578125" style="406" customWidth="1"/>
    <col min="16" max="16" width="11.42578125" style="442"/>
    <col min="17" max="17" width="23" customWidth="1"/>
    <col min="18" max="18" width="1.5703125" style="196" customWidth="1"/>
    <col min="19" max="19" width="15.7109375" customWidth="1"/>
    <col min="20" max="20" width="1.5703125" style="196" customWidth="1"/>
    <col min="21" max="21" width="15.140625" customWidth="1"/>
    <col min="22" max="22" width="5.140625" customWidth="1"/>
    <col min="24" max="24" width="5.5703125" customWidth="1"/>
    <col min="25" max="25" width="14.42578125" customWidth="1"/>
    <col min="28" max="28" width="7.7109375" customWidth="1"/>
    <col min="29" max="29" width="8.140625" customWidth="1"/>
    <col min="30" max="30" width="14" hidden="1" customWidth="1"/>
    <col min="31" max="31" width="0" hidden="1" customWidth="1"/>
  </cols>
  <sheetData>
    <row r="1" spans="1:53" x14ac:dyDescent="0.25">
      <c r="A1" s="405"/>
      <c r="B1" s="405"/>
      <c r="C1" s="405"/>
      <c r="D1" s="405"/>
      <c r="E1" s="405"/>
      <c r="F1" s="405"/>
      <c r="G1" s="405"/>
      <c r="H1" s="405"/>
      <c r="I1" s="405"/>
      <c r="J1" s="405"/>
      <c r="K1" s="405"/>
      <c r="L1" s="405"/>
      <c r="M1" s="405"/>
      <c r="N1" s="405"/>
      <c r="P1" s="441"/>
      <c r="Q1" s="442"/>
      <c r="R1" s="442"/>
      <c r="S1" s="442"/>
      <c r="T1" s="442"/>
      <c r="U1" s="442"/>
      <c r="V1" s="442"/>
      <c r="W1" s="442"/>
      <c r="X1" s="442"/>
      <c r="Y1" s="442"/>
      <c r="Z1" s="442"/>
      <c r="AA1" s="442"/>
      <c r="AB1" s="442"/>
      <c r="AC1" s="442"/>
      <c r="AD1" s="442"/>
      <c r="AE1" s="442"/>
      <c r="AF1" s="442"/>
      <c r="AG1" s="442"/>
      <c r="AH1" s="442"/>
      <c r="AI1" s="442"/>
      <c r="AJ1" s="442"/>
      <c r="AK1" s="442"/>
      <c r="AL1" s="442"/>
      <c r="AM1" s="442"/>
      <c r="AN1" s="442"/>
      <c r="AO1" s="442"/>
      <c r="AP1" s="442"/>
      <c r="AQ1" s="442"/>
      <c r="AR1" s="442"/>
      <c r="AS1" s="442"/>
      <c r="AT1" s="442"/>
      <c r="AU1" s="442"/>
      <c r="AV1" s="442"/>
      <c r="AW1" s="442"/>
      <c r="AX1" s="442"/>
      <c r="AY1" s="442"/>
      <c r="AZ1" s="442"/>
      <c r="BA1" s="442"/>
    </row>
    <row r="2" spans="1:53" ht="31.5" x14ac:dyDescent="0.5">
      <c r="A2" s="405"/>
      <c r="B2" s="407" t="s">
        <v>164</v>
      </c>
      <c r="C2" s="405"/>
      <c r="D2" s="405"/>
      <c r="E2" s="405"/>
      <c r="F2" s="405"/>
      <c r="G2" s="405"/>
      <c r="H2" s="405"/>
      <c r="I2" s="405"/>
      <c r="J2" s="405"/>
      <c r="K2" s="405"/>
      <c r="L2" s="405"/>
      <c r="M2" s="405"/>
      <c r="N2" s="405"/>
      <c r="O2" s="405"/>
      <c r="Q2" s="459" t="s">
        <v>432</v>
      </c>
      <c r="R2" s="442"/>
      <c r="S2" s="442"/>
      <c r="T2" s="442"/>
      <c r="U2" s="442"/>
      <c r="V2" s="442"/>
      <c r="W2" s="442"/>
      <c r="X2" s="442"/>
      <c r="Y2" s="442"/>
      <c r="Z2" s="442"/>
      <c r="AA2" s="442"/>
      <c r="AB2" s="442"/>
      <c r="AC2" s="442"/>
      <c r="AD2" s="442"/>
      <c r="AE2" s="442"/>
      <c r="AF2" s="442"/>
      <c r="AG2" s="442"/>
      <c r="AH2" s="442"/>
      <c r="AI2" s="442"/>
      <c r="AJ2" s="442"/>
      <c r="AK2" s="442"/>
      <c r="AL2" s="442"/>
      <c r="AM2" s="442"/>
      <c r="AN2" s="442"/>
      <c r="AO2" s="442"/>
      <c r="AP2" s="442"/>
      <c r="AQ2" s="442"/>
      <c r="AR2" s="442"/>
      <c r="AS2" s="442"/>
      <c r="AT2" s="442"/>
      <c r="AU2" s="442"/>
      <c r="AV2" s="442"/>
      <c r="AW2" s="442"/>
      <c r="AX2" s="442"/>
      <c r="AY2" s="442"/>
      <c r="AZ2" s="442"/>
      <c r="BA2" s="442"/>
    </row>
    <row r="3" spans="1:53" s="440" customFormat="1" ht="31.5" x14ac:dyDescent="0.5">
      <c r="A3" s="438"/>
      <c r="B3" s="439" t="s">
        <v>415</v>
      </c>
      <c r="C3" s="438"/>
      <c r="D3" s="438"/>
      <c r="E3" s="438"/>
      <c r="F3" s="438"/>
      <c r="G3" s="438"/>
      <c r="H3" s="438"/>
      <c r="I3" s="438"/>
      <c r="J3" s="438"/>
      <c r="K3" s="438"/>
      <c r="L3" s="438"/>
      <c r="M3" s="438"/>
      <c r="N3" s="438"/>
      <c r="O3" s="438"/>
      <c r="P3" s="443"/>
      <c r="Q3" s="443" t="s">
        <v>423</v>
      </c>
      <c r="R3" s="443"/>
      <c r="S3" s="443"/>
      <c r="T3" s="443"/>
      <c r="U3" s="443"/>
      <c r="V3" s="443"/>
      <c r="W3" s="443"/>
      <c r="X3" s="443"/>
      <c r="Y3" s="443"/>
      <c r="Z3" s="443"/>
      <c r="AA3" s="443"/>
      <c r="AB3" s="443"/>
      <c r="AC3" s="443"/>
      <c r="AD3" s="443"/>
      <c r="AE3" s="443"/>
      <c r="AF3" s="443"/>
      <c r="AG3" s="443"/>
      <c r="AH3" s="443"/>
      <c r="AI3" s="443"/>
      <c r="AJ3" s="443"/>
      <c r="AK3" s="443"/>
      <c r="AL3" s="443"/>
      <c r="AM3" s="443"/>
      <c r="AN3" s="443"/>
      <c r="AO3" s="443"/>
      <c r="AP3" s="443"/>
      <c r="AQ3" s="443"/>
      <c r="AR3" s="443"/>
      <c r="AS3" s="443"/>
      <c r="AT3" s="443"/>
      <c r="AU3" s="443"/>
      <c r="AV3" s="443"/>
      <c r="AW3" s="443"/>
      <c r="AX3" s="443"/>
      <c r="AY3" s="443"/>
      <c r="AZ3" s="443"/>
      <c r="BA3" s="443"/>
    </row>
    <row r="4" spans="1:53" ht="18" x14ac:dyDescent="0.35">
      <c r="A4" s="405"/>
      <c r="B4" s="405"/>
      <c r="C4" s="405"/>
      <c r="D4" s="405"/>
      <c r="E4" s="405"/>
      <c r="F4" s="405"/>
      <c r="G4" s="405"/>
      <c r="H4" s="405"/>
      <c r="I4" s="405"/>
      <c r="J4" s="405"/>
      <c r="K4" s="405"/>
      <c r="L4" s="405"/>
      <c r="M4" s="405"/>
      <c r="N4" s="405"/>
      <c r="O4" s="405"/>
      <c r="Q4" s="442" t="s">
        <v>434</v>
      </c>
      <c r="R4" s="442"/>
      <c r="S4" s="442"/>
      <c r="T4" s="442"/>
      <c r="U4" s="442"/>
      <c r="V4" s="444" t="s">
        <v>421</v>
      </c>
      <c r="W4" s="458" t="s">
        <v>392</v>
      </c>
      <c r="X4" s="442"/>
      <c r="Y4" s="442"/>
      <c r="Z4" s="442"/>
      <c r="AA4" s="442"/>
      <c r="AB4" s="442"/>
      <c r="AC4" s="442"/>
      <c r="AD4" s="442"/>
      <c r="AE4" s="442"/>
      <c r="AF4" s="442"/>
      <c r="AG4" s="442"/>
      <c r="AH4" s="442"/>
      <c r="AI4" s="442"/>
      <c r="AJ4" s="442"/>
      <c r="AK4" s="442"/>
      <c r="AL4" s="442"/>
      <c r="AM4" s="442"/>
      <c r="AN4" s="442"/>
      <c r="AO4" s="442"/>
      <c r="AP4" s="442"/>
      <c r="AQ4" s="442"/>
      <c r="AR4" s="442"/>
      <c r="AS4" s="442"/>
      <c r="AT4" s="442"/>
      <c r="AU4" s="442"/>
      <c r="AV4" s="442"/>
      <c r="AW4" s="442"/>
      <c r="AX4" s="442"/>
      <c r="AY4" s="442"/>
      <c r="AZ4" s="442"/>
      <c r="BA4" s="442"/>
    </row>
    <row r="5" spans="1:53" x14ac:dyDescent="0.25">
      <c r="A5" s="405"/>
      <c r="B5" s="405"/>
      <c r="C5" s="405"/>
      <c r="D5" s="405"/>
      <c r="E5" s="405"/>
      <c r="F5" s="405"/>
      <c r="G5" s="405"/>
      <c r="H5" s="405"/>
      <c r="I5" s="405"/>
      <c r="J5" s="405"/>
      <c r="K5" s="405"/>
      <c r="L5" s="405"/>
      <c r="M5" s="405"/>
      <c r="N5" s="405"/>
      <c r="O5" s="405"/>
      <c r="Q5" s="442" t="s">
        <v>424</v>
      </c>
      <c r="R5" s="442"/>
      <c r="S5" s="442"/>
      <c r="T5" s="442"/>
      <c r="U5" s="442"/>
      <c r="V5" s="442"/>
      <c r="W5" s="442"/>
      <c r="X5" s="442"/>
      <c r="Y5" s="442"/>
      <c r="Z5" s="442"/>
      <c r="AA5" s="442"/>
      <c r="AB5" s="442"/>
      <c r="AC5" s="442"/>
      <c r="AD5" s="442"/>
      <c r="AE5" s="442"/>
      <c r="AF5" s="442"/>
      <c r="AG5" s="442"/>
      <c r="AH5" s="442"/>
      <c r="AI5" s="442"/>
      <c r="AJ5" s="442"/>
      <c r="AK5" s="442"/>
      <c r="AL5" s="442"/>
      <c r="AM5" s="442"/>
      <c r="AN5" s="442"/>
      <c r="AO5" s="442"/>
      <c r="AP5" s="442"/>
      <c r="AQ5" s="442"/>
      <c r="AR5" s="442"/>
      <c r="AS5" s="442"/>
      <c r="AT5" s="442"/>
      <c r="AU5" s="442"/>
      <c r="AV5" s="442"/>
      <c r="AW5" s="442"/>
      <c r="AX5" s="442"/>
      <c r="AY5" s="442"/>
      <c r="AZ5" s="442"/>
      <c r="BA5" s="442"/>
    </row>
    <row r="6" spans="1:53" x14ac:dyDescent="0.25">
      <c r="A6" s="405"/>
      <c r="B6" s="405"/>
      <c r="C6" s="405"/>
      <c r="D6" s="405"/>
      <c r="E6" s="405"/>
      <c r="F6" s="405"/>
      <c r="G6" s="405"/>
      <c r="H6" s="405"/>
      <c r="I6" s="405"/>
      <c r="J6" s="405"/>
      <c r="K6" s="405"/>
      <c r="L6" s="405"/>
      <c r="M6" s="405"/>
      <c r="N6" s="405"/>
      <c r="O6" s="405"/>
      <c r="Q6" s="442" t="s">
        <v>420</v>
      </c>
      <c r="R6" s="442"/>
      <c r="S6" s="442"/>
      <c r="T6" s="442"/>
      <c r="U6" s="442"/>
      <c r="V6" s="442"/>
      <c r="W6" s="442"/>
      <c r="X6" s="442"/>
      <c r="Y6" s="442"/>
      <c r="Z6" s="442"/>
      <c r="AA6" s="442"/>
      <c r="AB6" s="442"/>
      <c r="AC6" s="442"/>
      <c r="AD6" s="442"/>
      <c r="AE6" s="442"/>
      <c r="AF6" s="442"/>
      <c r="AG6" s="442"/>
      <c r="AH6" s="442"/>
      <c r="AI6" s="442"/>
      <c r="AJ6" s="442"/>
      <c r="AK6" s="442"/>
      <c r="AL6" s="442"/>
      <c r="AM6" s="442"/>
      <c r="AN6" s="442"/>
      <c r="AO6" s="442"/>
      <c r="AP6" s="442"/>
      <c r="AQ6" s="442"/>
      <c r="AR6" s="442"/>
      <c r="AS6" s="442"/>
      <c r="AT6" s="442"/>
      <c r="AU6" s="442"/>
      <c r="AV6" s="442"/>
      <c r="AW6" s="442"/>
      <c r="AX6" s="442"/>
      <c r="AY6" s="442"/>
      <c r="AZ6" s="442"/>
      <c r="BA6" s="442"/>
    </row>
    <row r="7" spans="1:53" x14ac:dyDescent="0.25">
      <c r="A7" s="405"/>
      <c r="B7" s="405"/>
      <c r="C7" s="405"/>
      <c r="D7" s="405"/>
      <c r="E7" s="405"/>
      <c r="F7" s="405"/>
      <c r="G7" s="405"/>
      <c r="H7" s="405"/>
      <c r="I7" s="405"/>
      <c r="J7" s="405"/>
      <c r="K7" s="405"/>
      <c r="L7" s="405"/>
      <c r="M7" s="405"/>
      <c r="N7" s="405"/>
      <c r="O7" s="405"/>
      <c r="Q7" s="442" t="s">
        <v>425</v>
      </c>
      <c r="R7" s="442"/>
      <c r="S7" s="442"/>
      <c r="T7" s="442"/>
      <c r="U7" s="442"/>
      <c r="V7" s="442"/>
      <c r="W7" s="442"/>
      <c r="X7" s="442"/>
      <c r="Y7" s="442"/>
      <c r="Z7" s="442"/>
      <c r="AA7" s="442"/>
      <c r="AB7" s="442"/>
      <c r="AC7" s="442"/>
      <c r="AD7" s="442"/>
      <c r="AE7" s="442"/>
      <c r="AF7" s="442"/>
      <c r="AG7" s="442"/>
      <c r="AH7" s="442"/>
      <c r="AI7" s="442"/>
      <c r="AJ7" s="442"/>
      <c r="AK7" s="442"/>
      <c r="AL7" s="442"/>
      <c r="AM7" s="442"/>
      <c r="AN7" s="442"/>
      <c r="AO7" s="442"/>
      <c r="AP7" s="442"/>
      <c r="AQ7" s="442"/>
      <c r="AR7" s="442"/>
      <c r="AS7" s="442"/>
      <c r="AT7" s="442"/>
      <c r="AU7" s="442"/>
      <c r="AV7" s="442"/>
      <c r="AW7" s="442"/>
      <c r="AX7" s="442"/>
      <c r="AY7" s="442"/>
      <c r="AZ7" s="442"/>
      <c r="BA7" s="442"/>
    </row>
    <row r="8" spans="1:53" ht="18.75" x14ac:dyDescent="0.3">
      <c r="A8" s="405"/>
      <c r="B8" s="408"/>
      <c r="C8" s="405"/>
      <c r="D8" s="405"/>
      <c r="E8" s="405"/>
      <c r="F8" s="405"/>
      <c r="G8" s="405"/>
      <c r="H8" s="405"/>
      <c r="I8" s="405"/>
      <c r="J8" s="405"/>
      <c r="K8" s="405"/>
      <c r="L8" s="405"/>
      <c r="M8" s="405"/>
      <c r="N8" s="405"/>
      <c r="O8" s="405"/>
      <c r="Q8" s="442"/>
      <c r="R8" s="442"/>
      <c r="S8" s="442"/>
      <c r="T8" s="442"/>
      <c r="U8" s="442"/>
      <c r="V8" s="442"/>
      <c r="W8" s="442"/>
      <c r="X8" s="442"/>
      <c r="Y8" s="442"/>
      <c r="Z8" s="442"/>
      <c r="AA8" s="442"/>
      <c r="AB8" s="442"/>
      <c r="AC8" s="442"/>
      <c r="AD8" s="442"/>
      <c r="AE8" s="442"/>
      <c r="AF8" s="442"/>
      <c r="AG8" s="442"/>
      <c r="AH8" s="442"/>
      <c r="AI8" s="442"/>
      <c r="AJ8" s="442"/>
      <c r="AK8" s="442"/>
      <c r="AL8" s="442"/>
      <c r="AM8" s="442"/>
      <c r="AN8" s="442"/>
      <c r="AO8" s="442"/>
      <c r="AP8" s="442"/>
      <c r="AQ8" s="442"/>
      <c r="AR8" s="442"/>
      <c r="AS8" s="442"/>
      <c r="AT8" s="442"/>
      <c r="AU8" s="442"/>
      <c r="AV8" s="442"/>
      <c r="AW8" s="442"/>
      <c r="AX8" s="442"/>
      <c r="AY8" s="442"/>
      <c r="AZ8" s="442"/>
      <c r="BA8" s="442"/>
    </row>
    <row r="9" spans="1:53" ht="18.75" x14ac:dyDescent="0.3">
      <c r="A9" s="405"/>
      <c r="B9" s="408" t="s">
        <v>416</v>
      </c>
      <c r="C9" s="405"/>
      <c r="D9" s="405"/>
      <c r="E9" s="405"/>
      <c r="F9" s="405"/>
      <c r="G9" s="405"/>
      <c r="H9" s="405"/>
      <c r="I9" s="405"/>
      <c r="J9" s="405"/>
      <c r="K9" s="405"/>
      <c r="L9" s="405"/>
      <c r="M9" s="405"/>
      <c r="N9" s="405"/>
      <c r="O9" s="405"/>
      <c r="Q9" s="442" t="s">
        <v>422</v>
      </c>
      <c r="R9" s="442"/>
      <c r="S9" s="442"/>
      <c r="T9" s="442"/>
      <c r="U9" s="442"/>
      <c r="V9" s="442"/>
      <c r="W9" s="442"/>
      <c r="X9" s="442"/>
      <c r="Y9" s="442"/>
      <c r="Z9" s="442"/>
      <c r="AA9" s="442"/>
      <c r="AB9" s="442"/>
      <c r="AC9" s="442"/>
      <c r="AD9" s="445" t="s">
        <v>404</v>
      </c>
      <c r="AE9" s="445" t="s">
        <v>405</v>
      </c>
      <c r="AF9" s="442"/>
      <c r="AG9" s="442"/>
      <c r="AH9" s="442"/>
      <c r="AI9" s="442"/>
      <c r="AJ9" s="442"/>
      <c r="AK9" s="442"/>
      <c r="AL9" s="442"/>
      <c r="AM9" s="442"/>
      <c r="AN9" s="442"/>
      <c r="AO9" s="442"/>
      <c r="AP9" s="442"/>
      <c r="AQ9" s="442"/>
      <c r="AR9" s="442"/>
      <c r="AS9" s="442"/>
      <c r="AT9" s="442"/>
      <c r="AU9" s="442"/>
      <c r="AV9" s="442"/>
      <c r="AW9" s="442"/>
      <c r="AX9" s="442"/>
      <c r="AY9" s="442"/>
      <c r="AZ9" s="442"/>
      <c r="BA9" s="442"/>
    </row>
    <row r="10" spans="1:53" x14ac:dyDescent="0.25">
      <c r="A10" s="405"/>
      <c r="B10" s="405"/>
      <c r="C10" s="405"/>
      <c r="D10" s="405"/>
      <c r="E10" s="405"/>
      <c r="F10" s="405"/>
      <c r="G10" s="405"/>
      <c r="H10" s="405"/>
      <c r="I10" s="405"/>
      <c r="J10" s="405"/>
      <c r="K10" s="405"/>
      <c r="L10" s="405"/>
      <c r="M10" s="405"/>
      <c r="N10" s="405"/>
      <c r="O10" s="405"/>
      <c r="Q10" s="442" t="s">
        <v>436</v>
      </c>
      <c r="R10" s="442"/>
      <c r="S10" s="442"/>
      <c r="T10" s="442"/>
      <c r="U10" s="442"/>
      <c r="V10" s="442"/>
      <c r="W10" s="442"/>
      <c r="X10" s="442"/>
      <c r="Y10" s="442"/>
      <c r="Z10" s="442"/>
      <c r="AA10" s="442"/>
      <c r="AB10" s="442"/>
      <c r="AC10" s="442"/>
      <c r="AD10" s="442"/>
      <c r="AE10" s="442"/>
      <c r="AF10" s="442"/>
      <c r="AG10" s="442"/>
      <c r="AH10" s="442"/>
      <c r="AI10" s="442"/>
      <c r="AJ10" s="442"/>
      <c r="AK10" s="442"/>
      <c r="AL10" s="442"/>
      <c r="AM10" s="442"/>
      <c r="AN10" s="442"/>
      <c r="AO10" s="442"/>
      <c r="AP10" s="442"/>
      <c r="AQ10" s="442"/>
      <c r="AR10" s="442"/>
      <c r="AS10" s="442"/>
      <c r="AT10" s="442"/>
      <c r="AU10" s="442"/>
      <c r="AV10" s="442"/>
      <c r="AW10" s="442"/>
      <c r="AX10" s="442"/>
      <c r="AY10" s="442"/>
      <c r="AZ10" s="442"/>
      <c r="BA10" s="442"/>
    </row>
    <row r="11" spans="1:53" x14ac:dyDescent="0.25">
      <c r="A11" s="405"/>
      <c r="B11" s="405"/>
      <c r="C11" s="405"/>
      <c r="D11" s="405"/>
      <c r="E11" s="405"/>
      <c r="F11" s="405"/>
      <c r="G11" s="405"/>
      <c r="H11" s="409"/>
      <c r="I11" s="405"/>
      <c r="J11" s="405"/>
      <c r="K11" s="405"/>
      <c r="L11" s="405"/>
      <c r="M11" s="405"/>
      <c r="N11" s="405"/>
      <c r="O11" s="405"/>
      <c r="Q11" s="442" t="s">
        <v>427</v>
      </c>
      <c r="R11" s="442"/>
      <c r="S11" s="442"/>
      <c r="T11" s="442"/>
      <c r="U11" s="442"/>
      <c r="V11" s="442"/>
      <c r="W11" s="442"/>
      <c r="X11" s="442"/>
      <c r="Y11" s="442"/>
      <c r="Z11" s="442"/>
      <c r="AA11" s="442"/>
      <c r="AB11" s="442"/>
      <c r="AC11" s="442"/>
      <c r="AD11" s="442">
        <f>IF(Q17="Caramalz",-0.289,-0.255)</f>
        <v>-0.255</v>
      </c>
      <c r="AE11" s="442">
        <f>IF(Q17="Caramalz",6.069,6.156)</f>
        <v>6.1559999999999997</v>
      </c>
      <c r="AF11" s="442"/>
      <c r="AG11" s="442"/>
      <c r="AH11" s="442"/>
      <c r="AI11" s="442"/>
      <c r="AJ11" s="442"/>
      <c r="AK11" s="442"/>
      <c r="AL11" s="442"/>
      <c r="AM11" s="442"/>
      <c r="AN11" s="442"/>
      <c r="AO11" s="442"/>
      <c r="AP11" s="442"/>
      <c r="AQ11" s="442"/>
      <c r="AR11" s="442"/>
      <c r="AS11" s="442"/>
      <c r="AT11" s="442"/>
      <c r="AU11" s="442"/>
      <c r="AV11" s="442"/>
      <c r="AW11" s="442"/>
      <c r="AX11" s="442"/>
      <c r="AY11" s="442"/>
      <c r="AZ11" s="442"/>
      <c r="BA11" s="442"/>
    </row>
    <row r="12" spans="1:53" x14ac:dyDescent="0.25">
      <c r="A12" s="405"/>
      <c r="B12" s="405"/>
      <c r="C12" s="405"/>
      <c r="D12" s="405"/>
      <c r="E12" s="405"/>
      <c r="F12" s="405"/>
      <c r="G12" s="405"/>
      <c r="H12" s="409"/>
      <c r="I12" s="405"/>
      <c r="J12" s="405"/>
      <c r="K12" s="405"/>
      <c r="L12" s="405"/>
      <c r="M12" s="405"/>
      <c r="N12" s="405"/>
      <c r="O12" s="405"/>
      <c r="Q12" s="442" t="s">
        <v>428</v>
      </c>
      <c r="R12" s="442"/>
      <c r="S12" s="442"/>
      <c r="T12" s="442"/>
      <c r="U12" s="442"/>
      <c r="V12" s="442"/>
      <c r="W12" s="442"/>
      <c r="X12" s="442"/>
      <c r="Y12" s="442"/>
      <c r="Z12" s="442"/>
      <c r="AA12" s="442"/>
      <c r="AB12" s="442"/>
      <c r="AC12" s="442"/>
      <c r="AD12" s="442"/>
      <c r="AE12" s="442"/>
      <c r="AF12" s="442"/>
      <c r="AG12" s="442"/>
      <c r="AH12" s="442"/>
      <c r="AI12" s="442"/>
      <c r="AJ12" s="442"/>
      <c r="AK12" s="442"/>
      <c r="AL12" s="442"/>
      <c r="AM12" s="442"/>
      <c r="AN12" s="442"/>
      <c r="AO12" s="442"/>
      <c r="AP12" s="442"/>
      <c r="AQ12" s="442"/>
      <c r="AR12" s="442"/>
      <c r="AS12" s="442"/>
      <c r="AT12" s="442"/>
      <c r="AU12" s="442"/>
      <c r="AV12" s="442"/>
      <c r="AW12" s="442"/>
      <c r="AX12" s="442"/>
      <c r="AY12" s="442"/>
      <c r="AZ12" s="442"/>
      <c r="BA12" s="442"/>
    </row>
    <row r="13" spans="1:53" x14ac:dyDescent="0.25">
      <c r="A13" s="405"/>
      <c r="B13" s="405"/>
      <c r="C13" s="405"/>
      <c r="D13" s="405"/>
      <c r="E13" s="405"/>
      <c r="F13" s="405"/>
      <c r="G13" s="405"/>
      <c r="H13" s="405"/>
      <c r="I13" s="405"/>
      <c r="J13" s="405"/>
      <c r="K13" s="405"/>
      <c r="L13" s="405"/>
      <c r="M13" s="405"/>
      <c r="N13" s="410"/>
      <c r="O13" s="405"/>
      <c r="Q13" s="442"/>
      <c r="R13" s="442"/>
      <c r="S13" s="442"/>
      <c r="T13" s="442"/>
      <c r="U13" s="442"/>
      <c r="V13" s="442"/>
      <c r="W13" s="442"/>
      <c r="X13" s="442"/>
      <c r="Y13" s="442"/>
      <c r="Z13" s="442"/>
      <c r="AA13" s="442"/>
      <c r="AB13" s="442"/>
      <c r="AC13" s="442"/>
      <c r="AD13" s="442">
        <f>IF(Q19="Caramalz",-0.289,-0.255)</f>
        <v>-0.255</v>
      </c>
      <c r="AE13" s="442">
        <f>IF(Q19="Caramalz",6.069,6.156)</f>
        <v>6.1559999999999997</v>
      </c>
      <c r="AF13" s="442"/>
      <c r="AG13" s="442"/>
      <c r="AH13" s="442"/>
      <c r="AI13" s="442"/>
      <c r="AJ13" s="442"/>
      <c r="AK13" s="442"/>
      <c r="AL13" s="442"/>
      <c r="AM13" s="442"/>
      <c r="AN13" s="442"/>
      <c r="AO13" s="442"/>
      <c r="AP13" s="442"/>
      <c r="AQ13" s="442"/>
      <c r="AR13" s="442"/>
      <c r="AS13" s="442"/>
      <c r="AT13" s="442"/>
      <c r="AU13" s="442"/>
      <c r="AV13" s="442"/>
      <c r="AW13" s="442"/>
      <c r="AX13" s="442"/>
      <c r="AY13" s="442"/>
      <c r="AZ13" s="442"/>
      <c r="BA13" s="442"/>
    </row>
    <row r="14" spans="1:53" x14ac:dyDescent="0.25">
      <c r="A14" s="405"/>
      <c r="B14" s="405"/>
      <c r="C14" s="405"/>
      <c r="D14" s="405"/>
      <c r="E14" s="405"/>
      <c r="F14" s="405"/>
      <c r="G14" s="405"/>
      <c r="H14" s="405"/>
      <c r="I14" s="405"/>
      <c r="J14" s="405"/>
      <c r="K14" s="405"/>
      <c r="L14" s="405"/>
      <c r="M14" s="405"/>
      <c r="N14" s="405"/>
      <c r="O14" s="405"/>
      <c r="Q14" s="442"/>
      <c r="R14" s="442"/>
      <c r="S14" s="442"/>
      <c r="T14" s="442"/>
      <c r="U14" s="442"/>
      <c r="V14" s="442"/>
      <c r="W14" s="442"/>
      <c r="X14" s="442"/>
      <c r="Y14" s="442"/>
      <c r="Z14" s="442"/>
      <c r="AA14" s="442"/>
      <c r="AB14" s="442"/>
      <c r="AC14" s="442"/>
      <c r="AD14" s="442"/>
      <c r="AE14" s="442"/>
      <c r="AF14" s="442"/>
      <c r="AG14" s="442"/>
      <c r="AH14" s="442"/>
      <c r="AI14" s="442"/>
      <c r="AJ14" s="442"/>
      <c r="AK14" s="442"/>
      <c r="AL14" s="442"/>
      <c r="AM14" s="442"/>
      <c r="AN14" s="442"/>
      <c r="AO14" s="442"/>
      <c r="AP14" s="442"/>
      <c r="AQ14" s="442"/>
      <c r="AR14" s="442"/>
      <c r="AS14" s="442"/>
      <c r="AT14" s="442"/>
      <c r="AU14" s="442"/>
      <c r="AV14" s="442"/>
      <c r="AW14" s="442"/>
      <c r="AX14" s="442"/>
      <c r="AY14" s="442"/>
      <c r="AZ14" s="442"/>
      <c r="BA14" s="442"/>
    </row>
    <row r="15" spans="1:53" ht="18" x14ac:dyDescent="0.35">
      <c r="A15" s="405"/>
      <c r="B15" s="405"/>
      <c r="C15" s="405"/>
      <c r="D15" s="405"/>
      <c r="E15" s="405"/>
      <c r="F15" s="405"/>
      <c r="G15" s="405"/>
      <c r="H15" s="405"/>
      <c r="I15" s="405"/>
      <c r="J15" s="405"/>
      <c r="K15" s="405"/>
      <c r="L15" s="405"/>
      <c r="M15" s="405"/>
      <c r="N15" s="405"/>
      <c r="O15" s="405"/>
      <c r="Q15" s="446" t="s">
        <v>406</v>
      </c>
      <c r="R15" s="446"/>
      <c r="S15" s="446" t="s">
        <v>398</v>
      </c>
      <c r="T15" s="446"/>
      <c r="U15" s="446" t="s">
        <v>403</v>
      </c>
      <c r="V15" s="442"/>
      <c r="W15" s="447" t="s">
        <v>402</v>
      </c>
      <c r="X15" s="442"/>
      <c r="Y15" s="447" t="s">
        <v>413</v>
      </c>
      <c r="Z15" s="442"/>
      <c r="AA15" s="442"/>
      <c r="AB15" s="442"/>
      <c r="AC15" s="442"/>
      <c r="AD15" s="442">
        <f>IF(Q21="Caramalz",-0.289,-0.255)</f>
        <v>-0.28899999999999998</v>
      </c>
      <c r="AE15" s="442">
        <f>IF(Q21="Caramalz",6.069,6.156)</f>
        <v>6.069</v>
      </c>
      <c r="AF15" s="442"/>
      <c r="AG15" s="442"/>
      <c r="AH15" s="442"/>
      <c r="AI15" s="442"/>
      <c r="AJ15" s="442"/>
      <c r="AK15" s="442"/>
      <c r="AL15" s="442"/>
      <c r="AM15" s="442"/>
      <c r="AN15" s="442"/>
      <c r="AO15" s="442"/>
      <c r="AP15" s="442"/>
      <c r="AQ15" s="442"/>
      <c r="AR15" s="442"/>
      <c r="AS15" s="442"/>
      <c r="AT15" s="442"/>
      <c r="AU15" s="442"/>
      <c r="AV15" s="442"/>
      <c r="AW15" s="442"/>
      <c r="AX15" s="442"/>
      <c r="AY15" s="442"/>
      <c r="AZ15" s="442"/>
      <c r="BA15" s="442"/>
    </row>
    <row r="16" spans="1:53" x14ac:dyDescent="0.25">
      <c r="A16" s="405"/>
      <c r="B16" s="405"/>
      <c r="C16" s="405"/>
      <c r="D16" s="405"/>
      <c r="E16" s="405"/>
      <c r="F16" s="405"/>
      <c r="G16" s="405"/>
      <c r="H16" s="405"/>
      <c r="I16" s="405"/>
      <c r="J16" s="405"/>
      <c r="K16" s="405"/>
      <c r="L16" s="405"/>
      <c r="M16" s="405"/>
      <c r="N16" s="405"/>
      <c r="O16" s="405"/>
      <c r="Q16" s="442"/>
      <c r="R16" s="442"/>
      <c r="S16" s="442"/>
      <c r="T16" s="442"/>
      <c r="U16" s="442"/>
      <c r="V16" s="442"/>
      <c r="W16" s="442"/>
      <c r="X16" s="442"/>
      <c r="Y16" s="448"/>
      <c r="Z16" s="442"/>
      <c r="AA16" s="442"/>
      <c r="AB16" s="442"/>
      <c r="AC16" s="442"/>
      <c r="AD16" s="442"/>
      <c r="AE16" s="442"/>
      <c r="AF16" s="442"/>
      <c r="AG16" s="442"/>
      <c r="AH16" s="442"/>
      <c r="AI16" s="442"/>
      <c r="AJ16" s="442"/>
      <c r="AK16" s="442"/>
      <c r="AL16" s="442"/>
      <c r="AM16" s="442"/>
      <c r="AN16" s="442"/>
      <c r="AO16" s="442"/>
      <c r="AP16" s="442"/>
      <c r="AQ16" s="442"/>
      <c r="AR16" s="442"/>
      <c r="AS16" s="442"/>
      <c r="AT16" s="442"/>
      <c r="AU16" s="442"/>
      <c r="AV16" s="442"/>
      <c r="AW16" s="442"/>
      <c r="AX16" s="442"/>
      <c r="AY16" s="442"/>
      <c r="AZ16" s="442"/>
      <c r="BA16" s="442"/>
    </row>
    <row r="17" spans="1:53" ht="15.75" x14ac:dyDescent="0.25">
      <c r="A17" s="405"/>
      <c r="B17" s="405"/>
      <c r="C17" s="405"/>
      <c r="D17" s="405"/>
      <c r="E17" s="405"/>
      <c r="F17" s="405"/>
      <c r="G17" s="405"/>
      <c r="H17" s="405"/>
      <c r="I17" s="405"/>
      <c r="J17" s="405"/>
      <c r="K17" s="405"/>
      <c r="L17" s="405"/>
      <c r="M17" s="405"/>
      <c r="N17" s="405"/>
      <c r="O17" s="405"/>
      <c r="P17" s="444" t="s">
        <v>393</v>
      </c>
      <c r="Q17" s="171" t="s">
        <v>400</v>
      </c>
      <c r="R17" s="442"/>
      <c r="S17" s="171">
        <v>4400</v>
      </c>
      <c r="T17" s="442"/>
      <c r="U17" s="171">
        <v>7</v>
      </c>
      <c r="V17" s="442"/>
      <c r="W17" s="449">
        <f>S17/SUM($S$17:$S$25)</f>
        <v>0.91666666666666663</v>
      </c>
      <c r="X17" s="442"/>
      <c r="Y17" s="450">
        <f>IF(U17&lt;=350,AD11*LN(IF(U17&gt;0,U17,0.01))+AE11,4.65)</f>
        <v>5.6597929119908947</v>
      </c>
      <c r="Z17" s="442"/>
      <c r="AA17" s="442"/>
      <c r="AB17" s="442"/>
      <c r="AC17" s="442"/>
      <c r="AD17" s="442">
        <f>IF(Q23="Caramalz",-0.289,-0.255)</f>
        <v>-0.255</v>
      </c>
      <c r="AE17" s="442">
        <f>IF(Q23="Caramalz",6.069,6.156)</f>
        <v>6.1559999999999997</v>
      </c>
      <c r="AF17" s="442"/>
      <c r="AG17" s="442"/>
      <c r="AH17" s="442"/>
      <c r="AI17" s="442"/>
      <c r="AJ17" s="442"/>
      <c r="AK17" s="442"/>
      <c r="AL17" s="442"/>
      <c r="AM17" s="442"/>
      <c r="AN17" s="442"/>
      <c r="AO17" s="442"/>
      <c r="AP17" s="442"/>
      <c r="AQ17" s="442"/>
      <c r="AR17" s="442"/>
      <c r="AS17" s="442"/>
      <c r="AT17" s="442"/>
      <c r="AU17" s="442"/>
      <c r="AV17" s="442"/>
      <c r="AW17" s="442"/>
      <c r="AX17" s="442"/>
      <c r="AY17" s="442"/>
      <c r="AZ17" s="442"/>
      <c r="BA17" s="442"/>
    </row>
    <row r="18" spans="1:53" x14ac:dyDescent="0.25">
      <c r="A18" s="405"/>
      <c r="B18" s="405"/>
      <c r="C18" s="405"/>
      <c r="D18" s="405"/>
      <c r="E18" s="405"/>
      <c r="F18" s="405"/>
      <c r="G18" s="405"/>
      <c r="H18" s="405"/>
      <c r="I18" s="405"/>
      <c r="J18" s="405"/>
      <c r="K18" s="405"/>
      <c r="L18" s="405"/>
      <c r="M18" s="405"/>
      <c r="N18" s="405"/>
      <c r="O18" s="405"/>
      <c r="P18" s="444"/>
      <c r="Q18" s="442"/>
      <c r="R18" s="442"/>
      <c r="S18" s="442"/>
      <c r="T18" s="442"/>
      <c r="U18" s="442"/>
      <c r="V18" s="442"/>
      <c r="W18" s="449"/>
      <c r="X18" s="442"/>
      <c r="Y18" s="448"/>
      <c r="Z18" s="442"/>
      <c r="AA18" s="442"/>
      <c r="AB18" s="442"/>
      <c r="AC18" s="442"/>
      <c r="AD18" s="442"/>
      <c r="AE18" s="442"/>
      <c r="AF18" s="442"/>
      <c r="AG18" s="442"/>
      <c r="AH18" s="442"/>
      <c r="AI18" s="442"/>
      <c r="AJ18" s="442"/>
      <c r="AK18" s="442"/>
      <c r="AL18" s="442"/>
      <c r="AM18" s="442"/>
      <c r="AN18" s="442"/>
      <c r="AO18" s="442"/>
      <c r="AP18" s="442"/>
      <c r="AQ18" s="442"/>
      <c r="AR18" s="442"/>
      <c r="AS18" s="442"/>
      <c r="AT18" s="442"/>
      <c r="AU18" s="442"/>
      <c r="AV18" s="442"/>
      <c r="AW18" s="442"/>
      <c r="AX18" s="442"/>
      <c r="AY18" s="442"/>
      <c r="AZ18" s="442"/>
      <c r="BA18" s="442"/>
    </row>
    <row r="19" spans="1:53" ht="15.75" x14ac:dyDescent="0.25">
      <c r="A19" s="405"/>
      <c r="B19" s="411"/>
      <c r="C19" s="405"/>
      <c r="D19" s="405"/>
      <c r="E19" s="405"/>
      <c r="F19" s="405"/>
      <c r="G19" s="405"/>
      <c r="H19" s="405"/>
      <c r="I19" s="405"/>
      <c r="J19" s="405"/>
      <c r="K19" s="411"/>
      <c r="L19" s="405"/>
      <c r="M19" s="412"/>
      <c r="N19" s="405"/>
      <c r="O19" s="405"/>
      <c r="P19" s="444" t="s">
        <v>394</v>
      </c>
      <c r="Q19" s="171" t="s">
        <v>400</v>
      </c>
      <c r="R19" s="442"/>
      <c r="S19" s="171">
        <v>400</v>
      </c>
      <c r="T19" s="442"/>
      <c r="U19" s="171">
        <v>24</v>
      </c>
      <c r="V19" s="442"/>
      <c r="W19" s="449">
        <f>S19/SUM($S$17:$S$25)</f>
        <v>8.3333333333333329E-2</v>
      </c>
      <c r="X19" s="442"/>
      <c r="Y19" s="450">
        <f>IF(U19&lt;=350,AD13*LN(IF(U19&gt;0,U19,0.01))+AE13,4.65)</f>
        <v>5.3455962732612736</v>
      </c>
      <c r="Z19" s="442"/>
      <c r="AA19" s="442"/>
      <c r="AB19" s="442"/>
      <c r="AC19" s="442"/>
      <c r="AD19" s="442">
        <f>IF(Q25="Caramalz",-0.289,-0.255)</f>
        <v>-0.255</v>
      </c>
      <c r="AE19" s="442">
        <f>IF(Q25="Caramalz",6.069,6.156)</f>
        <v>6.1559999999999997</v>
      </c>
      <c r="AF19" s="442"/>
      <c r="AG19" s="442"/>
      <c r="AH19" s="442"/>
      <c r="AI19" s="442"/>
      <c r="AJ19" s="442"/>
      <c r="AK19" s="442"/>
      <c r="AL19" s="442"/>
      <c r="AM19" s="442"/>
      <c r="AN19" s="442"/>
      <c r="AO19" s="442"/>
      <c r="AP19" s="442"/>
      <c r="AQ19" s="442"/>
      <c r="AR19" s="442"/>
      <c r="AS19" s="442"/>
      <c r="AT19" s="442"/>
      <c r="AU19" s="442"/>
      <c r="AV19" s="442"/>
      <c r="AW19" s="442"/>
      <c r="AX19" s="442"/>
      <c r="AY19" s="442"/>
      <c r="AZ19" s="442"/>
      <c r="BA19" s="442"/>
    </row>
    <row r="20" spans="1:53" x14ac:dyDescent="0.25">
      <c r="A20" s="405"/>
      <c r="B20" s="405"/>
      <c r="C20" s="405"/>
      <c r="D20" s="405"/>
      <c r="E20" s="405"/>
      <c r="F20" s="405"/>
      <c r="G20" s="405"/>
      <c r="H20" s="405"/>
      <c r="I20" s="405"/>
      <c r="J20" s="405"/>
      <c r="K20" s="405"/>
      <c r="L20" s="405"/>
      <c r="M20" s="405"/>
      <c r="N20" s="405"/>
      <c r="O20" s="405"/>
      <c r="P20" s="444"/>
      <c r="Q20" s="442"/>
      <c r="R20" s="442"/>
      <c r="S20" s="442"/>
      <c r="T20" s="442"/>
      <c r="U20" s="442"/>
      <c r="V20" s="442"/>
      <c r="W20" s="449"/>
      <c r="X20" s="442"/>
      <c r="Y20" s="448"/>
      <c r="Z20" s="442"/>
      <c r="AA20" s="442"/>
      <c r="AB20" s="442"/>
      <c r="AC20" s="442"/>
      <c r="AD20" s="442"/>
      <c r="AE20" s="442"/>
      <c r="AF20" s="442"/>
      <c r="AG20" s="442"/>
      <c r="AH20" s="442"/>
      <c r="AI20" s="442"/>
      <c r="AJ20" s="442"/>
      <c r="AK20" s="442"/>
      <c r="AL20" s="442"/>
      <c r="AM20" s="442"/>
      <c r="AN20" s="442"/>
      <c r="AO20" s="442"/>
      <c r="AP20" s="442"/>
      <c r="AQ20" s="442"/>
      <c r="AR20" s="442"/>
      <c r="AS20" s="442"/>
      <c r="AT20" s="442"/>
      <c r="AU20" s="442"/>
      <c r="AV20" s="442"/>
      <c r="AW20" s="442"/>
      <c r="AX20" s="442"/>
      <c r="AY20" s="442"/>
      <c r="AZ20" s="442"/>
      <c r="BA20" s="442"/>
    </row>
    <row r="21" spans="1:53" ht="18.75" x14ac:dyDescent="0.3">
      <c r="A21" s="405"/>
      <c r="B21" s="408"/>
      <c r="C21" s="405"/>
      <c r="D21" s="405"/>
      <c r="E21" s="405"/>
      <c r="F21" s="405"/>
      <c r="G21" s="409"/>
      <c r="H21" s="405"/>
      <c r="I21" s="405"/>
      <c r="J21" s="405"/>
      <c r="K21" s="405"/>
      <c r="L21" s="405"/>
      <c r="M21" s="410"/>
      <c r="N21" s="405"/>
      <c r="O21" s="405"/>
      <c r="P21" s="444" t="s">
        <v>395</v>
      </c>
      <c r="Q21" s="171" t="s">
        <v>401</v>
      </c>
      <c r="R21" s="442"/>
      <c r="S21" s="171">
        <v>0</v>
      </c>
      <c r="T21" s="442"/>
      <c r="U21" s="171">
        <v>25</v>
      </c>
      <c r="V21" s="442"/>
      <c r="W21" s="449">
        <f>S21/SUM($S$17:$S$25)</f>
        <v>0</v>
      </c>
      <c r="X21" s="442"/>
      <c r="Y21" s="450">
        <f>IF(U21&lt;=350,AD15*LN(IF(U21&gt;0,U21,0.01))+AE15,4.65)</f>
        <v>5.1387448866130896</v>
      </c>
      <c r="Z21" s="442"/>
      <c r="AA21" s="442"/>
      <c r="AB21" s="442"/>
      <c r="AC21" s="442"/>
      <c r="AD21" s="442"/>
      <c r="AE21" s="442"/>
      <c r="AF21" s="442"/>
      <c r="AG21" s="442"/>
      <c r="AH21" s="442"/>
      <c r="AI21" s="442"/>
      <c r="AJ21" s="442"/>
      <c r="AK21" s="442"/>
      <c r="AL21" s="442"/>
      <c r="AM21" s="442"/>
      <c r="AN21" s="442"/>
      <c r="AO21" s="442"/>
      <c r="AP21" s="442"/>
      <c r="AQ21" s="442"/>
      <c r="AR21" s="442"/>
      <c r="AS21" s="442"/>
      <c r="AT21" s="442"/>
      <c r="AU21" s="442"/>
      <c r="AV21" s="442"/>
      <c r="AW21" s="442"/>
      <c r="AX21" s="442"/>
      <c r="AY21" s="442"/>
      <c r="AZ21" s="442"/>
      <c r="BA21" s="442"/>
    </row>
    <row r="22" spans="1:53" x14ac:dyDescent="0.25">
      <c r="A22" s="405"/>
      <c r="B22" s="405"/>
      <c r="C22" s="405"/>
      <c r="D22" s="405"/>
      <c r="E22" s="405"/>
      <c r="F22" s="405"/>
      <c r="G22" s="405"/>
      <c r="H22" s="405"/>
      <c r="I22" s="405"/>
      <c r="J22" s="405"/>
      <c r="K22" s="405"/>
      <c r="L22" s="405"/>
      <c r="M22" s="405"/>
      <c r="N22" s="405"/>
      <c r="O22" s="405"/>
      <c r="P22" s="444"/>
      <c r="Q22" s="442"/>
      <c r="R22" s="442"/>
      <c r="S22" s="442"/>
      <c r="T22" s="442"/>
      <c r="U22" s="442"/>
      <c r="V22" s="442"/>
      <c r="W22" s="449"/>
      <c r="X22" s="442"/>
      <c r="Y22" s="448"/>
      <c r="Z22" s="442"/>
      <c r="AA22" s="442"/>
      <c r="AB22" s="442"/>
      <c r="AC22" s="442"/>
      <c r="AD22" s="442"/>
      <c r="AE22" s="442"/>
      <c r="AF22" s="442"/>
      <c r="AG22" s="442"/>
      <c r="AH22" s="442"/>
      <c r="AI22" s="442"/>
      <c r="AJ22" s="442"/>
      <c r="AK22" s="442"/>
      <c r="AL22" s="442"/>
      <c r="AM22" s="442"/>
      <c r="AN22" s="442"/>
      <c r="AO22" s="442"/>
      <c r="AP22" s="442"/>
      <c r="AQ22" s="442"/>
      <c r="AR22" s="442"/>
      <c r="AS22" s="442"/>
      <c r="AT22" s="442"/>
      <c r="AU22" s="442"/>
      <c r="AV22" s="442"/>
      <c r="AW22" s="442"/>
      <c r="AX22" s="442"/>
      <c r="AY22" s="442"/>
      <c r="AZ22" s="442"/>
      <c r="BA22" s="442"/>
    </row>
    <row r="23" spans="1:53" ht="15.75" customHeight="1" x14ac:dyDescent="0.25">
      <c r="A23" s="405"/>
      <c r="B23" s="405"/>
      <c r="C23" s="405"/>
      <c r="D23" s="405"/>
      <c r="E23" s="405"/>
      <c r="F23" s="405"/>
      <c r="G23" s="405"/>
      <c r="H23" s="405"/>
      <c r="I23" s="405"/>
      <c r="J23" s="405"/>
      <c r="K23" s="405"/>
      <c r="L23" s="405"/>
      <c r="M23" s="405"/>
      <c r="N23" s="405"/>
      <c r="O23" s="405"/>
      <c r="P23" s="444" t="s">
        <v>396</v>
      </c>
      <c r="Q23" s="171" t="s">
        <v>400</v>
      </c>
      <c r="R23" s="442"/>
      <c r="S23" s="171">
        <v>0</v>
      </c>
      <c r="T23" s="442"/>
      <c r="U23" s="171">
        <v>4</v>
      </c>
      <c r="V23" s="442"/>
      <c r="W23" s="449">
        <f>S23/SUM($S$17:$S$25)</f>
        <v>0</v>
      </c>
      <c r="X23" s="442"/>
      <c r="Y23" s="450">
        <f>IF(U23&lt;=350,AD17*LN(IF(U23&gt;0,U23,0.01))+AE17,4.65)</f>
        <v>5.8024949379144273</v>
      </c>
      <c r="Z23" s="442"/>
      <c r="AA23" s="442"/>
      <c r="AB23" s="442"/>
      <c r="AC23" s="442"/>
      <c r="AD23" s="442"/>
      <c r="AE23" s="442"/>
      <c r="AF23" s="442"/>
      <c r="AG23" s="442"/>
      <c r="AH23" s="442"/>
      <c r="AI23" s="442"/>
      <c r="AJ23" s="442"/>
      <c r="AK23" s="442"/>
      <c r="AL23" s="442"/>
      <c r="AM23" s="442"/>
      <c r="AN23" s="442"/>
      <c r="AO23" s="442"/>
      <c r="AP23" s="442"/>
      <c r="AQ23" s="442"/>
      <c r="AR23" s="442"/>
      <c r="AS23" s="442"/>
      <c r="AT23" s="442"/>
      <c r="AU23" s="442"/>
      <c r="AV23" s="442"/>
      <c r="AW23" s="442"/>
      <c r="AX23" s="442"/>
      <c r="AY23" s="442"/>
      <c r="AZ23" s="442"/>
      <c r="BA23" s="442"/>
    </row>
    <row r="24" spans="1:53" ht="15.75" customHeight="1" x14ac:dyDescent="0.3">
      <c r="A24" s="405"/>
      <c r="B24" s="408" t="s">
        <v>419</v>
      </c>
      <c r="C24" s="408"/>
      <c r="D24" s="405"/>
      <c r="E24" s="405"/>
      <c r="F24" s="405"/>
      <c r="G24" s="409"/>
      <c r="H24" s="405"/>
      <c r="I24" s="405"/>
      <c r="J24" s="405"/>
      <c r="K24" s="405"/>
      <c r="L24" s="405"/>
      <c r="M24" s="405"/>
      <c r="N24" s="405"/>
      <c r="O24" s="405"/>
      <c r="P24" s="444"/>
      <c r="Q24" s="442"/>
      <c r="R24" s="442"/>
      <c r="S24" s="442"/>
      <c r="T24" s="442"/>
      <c r="U24" s="442"/>
      <c r="V24" s="442"/>
      <c r="W24" s="449"/>
      <c r="X24" s="442"/>
      <c r="Y24" s="448"/>
      <c r="Z24" s="442"/>
      <c r="AA24" s="442"/>
      <c r="AB24" s="442"/>
      <c r="AC24" s="442"/>
      <c r="AD24" s="442"/>
      <c r="AE24" s="442"/>
      <c r="AF24" s="442"/>
      <c r="AG24" s="442"/>
      <c r="AH24" s="442"/>
      <c r="AI24" s="442"/>
      <c r="AJ24" s="442"/>
      <c r="AK24" s="442"/>
      <c r="AL24" s="442"/>
      <c r="AM24" s="442"/>
      <c r="AN24" s="442"/>
      <c r="AO24" s="442"/>
      <c r="AP24" s="442"/>
      <c r="AQ24" s="442"/>
      <c r="AR24" s="442"/>
      <c r="AS24" s="442"/>
      <c r="AT24" s="442"/>
      <c r="AU24" s="442"/>
      <c r="AV24" s="442"/>
      <c r="AW24" s="442"/>
      <c r="AX24" s="442"/>
      <c r="AY24" s="442"/>
      <c r="AZ24" s="442"/>
      <c r="BA24" s="442"/>
    </row>
    <row r="25" spans="1:53" ht="15.75" customHeight="1" x14ac:dyDescent="0.25">
      <c r="A25" s="405"/>
      <c r="B25" s="405"/>
      <c r="C25" s="405"/>
      <c r="D25" s="405"/>
      <c r="E25" s="405"/>
      <c r="F25" s="405"/>
      <c r="G25" s="405"/>
      <c r="H25" s="405"/>
      <c r="I25" s="405"/>
      <c r="J25" s="405"/>
      <c r="K25" s="405"/>
      <c r="L25" s="405"/>
      <c r="M25" s="405"/>
      <c r="N25" s="405"/>
      <c r="O25" s="405"/>
      <c r="P25" s="444" t="s">
        <v>397</v>
      </c>
      <c r="Q25" s="171" t="s">
        <v>400</v>
      </c>
      <c r="R25" s="442"/>
      <c r="S25" s="171">
        <v>0</v>
      </c>
      <c r="T25" s="442"/>
      <c r="U25" s="171">
        <v>400</v>
      </c>
      <c r="V25" s="442"/>
      <c r="W25" s="449">
        <f>S25/SUM($S$17:$S$25)</f>
        <v>0</v>
      </c>
      <c r="X25" s="442"/>
      <c r="Y25" s="450">
        <f>IF(U25&lt;=350,AD19*LN(IF(U25&gt;0,U25,0.01))+AE19,4.65)</f>
        <v>4.6500000000000004</v>
      </c>
      <c r="Z25" s="442"/>
      <c r="AA25" s="442"/>
      <c r="AB25" s="442"/>
      <c r="AC25" s="442"/>
      <c r="AD25" s="442"/>
      <c r="AE25" s="442"/>
      <c r="AF25" s="442"/>
      <c r="AG25" s="442"/>
      <c r="AH25" s="442"/>
      <c r="AI25" s="442"/>
      <c r="AJ25" s="442"/>
      <c r="AK25" s="442"/>
      <c r="AL25" s="442"/>
      <c r="AM25" s="442"/>
      <c r="AN25" s="442"/>
      <c r="AO25" s="442"/>
      <c r="AP25" s="442"/>
      <c r="AQ25" s="442"/>
      <c r="AR25" s="442"/>
      <c r="AS25" s="442"/>
      <c r="AT25" s="442"/>
      <c r="AU25" s="442"/>
      <c r="AV25" s="442"/>
      <c r="AW25" s="442"/>
      <c r="AX25" s="442"/>
      <c r="AY25" s="442"/>
      <c r="AZ25" s="442"/>
      <c r="BA25" s="442"/>
    </row>
    <row r="26" spans="1:53" ht="15.75" customHeight="1" x14ac:dyDescent="0.25">
      <c r="A26" s="405"/>
      <c r="B26" s="405"/>
      <c r="C26" s="405"/>
      <c r="D26" s="405"/>
      <c r="E26" s="405"/>
      <c r="F26" s="405"/>
      <c r="G26" s="405"/>
      <c r="H26" s="405"/>
      <c r="I26" s="405"/>
      <c r="J26" s="405"/>
      <c r="K26" s="405"/>
      <c r="L26" s="405"/>
      <c r="M26" s="405"/>
      <c r="N26" s="405"/>
      <c r="O26" s="405"/>
      <c r="Q26" s="442"/>
      <c r="R26" s="442"/>
      <c r="S26" s="442"/>
      <c r="T26" s="442"/>
      <c r="U26" s="442"/>
      <c r="V26" s="442"/>
      <c r="W26" s="442"/>
      <c r="X26" s="442"/>
      <c r="Y26" s="448"/>
      <c r="Z26" s="442"/>
      <c r="AA26" s="442"/>
      <c r="AB26" s="442"/>
      <c r="AC26" s="442"/>
      <c r="AD26" s="442"/>
      <c r="AE26" s="442"/>
      <c r="AF26" s="442"/>
      <c r="AG26" s="442"/>
      <c r="AH26" s="442"/>
      <c r="AI26" s="442"/>
      <c r="AJ26" s="442"/>
      <c r="AK26" s="442"/>
      <c r="AL26" s="442"/>
      <c r="AM26" s="442"/>
      <c r="AN26" s="442"/>
      <c r="AO26" s="442"/>
      <c r="AP26" s="442"/>
      <c r="AQ26" s="442"/>
      <c r="AR26" s="442"/>
      <c r="AS26" s="442"/>
      <c r="AT26" s="442"/>
      <c r="AU26" s="442"/>
      <c r="AV26" s="442"/>
      <c r="AW26" s="442"/>
      <c r="AX26" s="442"/>
      <c r="AY26" s="442"/>
      <c r="AZ26" s="442"/>
      <c r="BA26" s="442"/>
    </row>
    <row r="27" spans="1:53" ht="15.75" customHeight="1" x14ac:dyDescent="0.25">
      <c r="A27" s="405"/>
      <c r="B27" s="405"/>
      <c r="C27" s="405"/>
      <c r="D27" s="405"/>
      <c r="E27" s="405"/>
      <c r="F27" s="405"/>
      <c r="G27" s="405"/>
      <c r="H27" s="405"/>
      <c r="I27" s="405"/>
      <c r="J27" s="405"/>
      <c r="K27" s="405"/>
      <c r="L27" s="405"/>
      <c r="M27" s="405"/>
      <c r="N27" s="405"/>
      <c r="O27" s="405"/>
      <c r="Q27" s="442"/>
      <c r="R27" s="442"/>
      <c r="S27" s="442"/>
      <c r="T27" s="442"/>
      <c r="U27" s="442"/>
      <c r="V27" s="442"/>
      <c r="W27" s="442"/>
      <c r="X27" s="442"/>
      <c r="Y27" s="448"/>
      <c r="Z27" s="442"/>
      <c r="AA27" s="442"/>
      <c r="AB27" s="442"/>
      <c r="AC27" s="442"/>
      <c r="AD27" s="442"/>
      <c r="AE27" s="442"/>
      <c r="AF27" s="442"/>
      <c r="AG27" s="442"/>
      <c r="AH27" s="442"/>
      <c r="AI27" s="442"/>
      <c r="AJ27" s="442"/>
      <c r="AK27" s="442"/>
      <c r="AL27" s="442"/>
      <c r="AM27" s="442"/>
      <c r="AN27" s="442"/>
      <c r="AO27" s="442"/>
      <c r="AP27" s="442"/>
      <c r="AQ27" s="442"/>
      <c r="AR27" s="442"/>
      <c r="AS27" s="442"/>
      <c r="AT27" s="442"/>
      <c r="AU27" s="442"/>
      <c r="AV27" s="442"/>
      <c r="AW27" s="442"/>
      <c r="AX27" s="442"/>
      <c r="AY27" s="442"/>
      <c r="AZ27" s="442"/>
      <c r="BA27" s="442"/>
    </row>
    <row r="28" spans="1:53" ht="15.75" customHeight="1" x14ac:dyDescent="0.35">
      <c r="A28" s="405"/>
      <c r="B28" s="405"/>
      <c r="C28" s="405"/>
      <c r="D28" s="405"/>
      <c r="E28" s="405"/>
      <c r="F28" s="405"/>
      <c r="G28" s="405"/>
      <c r="H28" s="405"/>
      <c r="I28" s="405"/>
      <c r="J28" s="405"/>
      <c r="K28" s="405"/>
      <c r="L28" s="405"/>
      <c r="M28" s="405"/>
      <c r="N28" s="405"/>
      <c r="O28" s="405"/>
      <c r="Q28" s="442"/>
      <c r="R28" s="442"/>
      <c r="S28" s="442"/>
      <c r="T28" s="442"/>
      <c r="U28" s="442"/>
      <c r="V28" s="442"/>
      <c r="W28" s="442"/>
      <c r="X28" s="444" t="s">
        <v>412</v>
      </c>
      <c r="Y28" s="451">
        <f>-LOG10(10^-Y17*W17+10^-Y19*W19+10^-Y21*W21+10^-Y23*W23+10^-Y25*W25)</f>
        <v>5.6229790041753072</v>
      </c>
      <c r="Z28" s="442"/>
      <c r="AA28" s="442"/>
      <c r="AB28" s="442"/>
      <c r="AC28" s="442"/>
      <c r="AD28" s="442"/>
      <c r="AE28" s="442"/>
      <c r="AF28" s="442"/>
      <c r="AG28" s="442"/>
      <c r="AH28" s="442"/>
      <c r="AI28" s="442"/>
      <c r="AJ28" s="442"/>
      <c r="AK28" s="442"/>
      <c r="AL28" s="442"/>
      <c r="AM28" s="442"/>
      <c r="AN28" s="442"/>
      <c r="AO28" s="442"/>
      <c r="AP28" s="442"/>
      <c r="AQ28" s="442"/>
      <c r="AR28" s="442"/>
      <c r="AS28" s="442"/>
      <c r="AT28" s="442"/>
      <c r="AU28" s="442"/>
      <c r="AV28" s="442"/>
      <c r="AW28" s="442"/>
      <c r="AX28" s="442"/>
      <c r="AY28" s="442"/>
      <c r="AZ28" s="442"/>
      <c r="BA28" s="442"/>
    </row>
    <row r="29" spans="1:53" ht="15.75" customHeight="1" x14ac:dyDescent="0.35">
      <c r="A29" s="405"/>
      <c r="B29" s="408" t="s">
        <v>430</v>
      </c>
      <c r="C29" s="405"/>
      <c r="D29" s="405"/>
      <c r="E29" s="405"/>
      <c r="F29" s="405"/>
      <c r="G29" s="405"/>
      <c r="H29" s="405"/>
      <c r="I29" s="405"/>
      <c r="J29" s="405"/>
      <c r="K29" s="405"/>
      <c r="L29" s="405"/>
      <c r="M29" s="405"/>
      <c r="N29" s="405"/>
      <c r="O29" s="405"/>
      <c r="Q29" s="447" t="s">
        <v>408</v>
      </c>
      <c r="R29" s="442"/>
      <c r="S29" s="446" t="s">
        <v>409</v>
      </c>
      <c r="T29" s="442"/>
      <c r="U29" s="442"/>
      <c r="V29" s="442"/>
      <c r="W29" s="442"/>
      <c r="X29" s="442"/>
      <c r="Y29" s="448"/>
      <c r="Z29" s="442"/>
      <c r="AA29" s="442"/>
      <c r="AB29" s="442"/>
      <c r="AC29" s="442"/>
      <c r="AD29" s="442"/>
      <c r="AE29" s="442"/>
      <c r="AF29" s="442"/>
      <c r="AG29" s="442"/>
      <c r="AH29" s="442"/>
      <c r="AI29" s="442"/>
      <c r="AJ29" s="442"/>
      <c r="AK29" s="442"/>
      <c r="AL29" s="442"/>
      <c r="AM29" s="442"/>
      <c r="AN29" s="442"/>
      <c r="AO29" s="442"/>
      <c r="AP29" s="442"/>
      <c r="AQ29" s="442"/>
      <c r="AR29" s="442"/>
      <c r="AS29" s="442"/>
      <c r="AT29" s="442"/>
      <c r="AU29" s="442"/>
      <c r="AV29" s="442"/>
      <c r="AW29" s="442"/>
      <c r="AX29" s="442"/>
      <c r="AY29" s="442"/>
      <c r="AZ29" s="442"/>
      <c r="BA29" s="442"/>
    </row>
    <row r="30" spans="1:53" ht="15.75" customHeight="1" x14ac:dyDescent="0.25">
      <c r="A30" s="405"/>
      <c r="B30" s="405"/>
      <c r="C30" s="405"/>
      <c r="D30" s="405"/>
      <c r="E30" s="405"/>
      <c r="F30" s="405"/>
      <c r="G30" s="405"/>
      <c r="H30" s="405"/>
      <c r="I30" s="405"/>
      <c r="J30" s="405"/>
      <c r="K30" s="405"/>
      <c r="L30" s="405"/>
      <c r="M30" s="405"/>
      <c r="N30" s="405"/>
      <c r="O30" s="405"/>
      <c r="Q30" s="171">
        <v>19</v>
      </c>
      <c r="R30" s="442"/>
      <c r="S30" s="456">
        <f>SUM(S17:S25)</f>
        <v>4800</v>
      </c>
      <c r="T30" s="442"/>
      <c r="U30" s="442"/>
      <c r="V30" s="442"/>
      <c r="W30" s="452"/>
      <c r="X30" s="453" t="s">
        <v>407</v>
      </c>
      <c r="Y30" s="454">
        <f>Y28+(0.013*Q30/(SUM(S17:S25)/1000)+0.013)*'Wasserversorger &amp; Aufbereitung'!BK34</f>
        <v>5.6931011451530846</v>
      </c>
      <c r="Z30" s="442"/>
      <c r="AA30" s="442"/>
      <c r="AB30" s="442"/>
      <c r="AC30" s="442"/>
      <c r="AD30" s="442"/>
      <c r="AE30" s="442"/>
      <c r="AF30" s="442"/>
      <c r="AG30" s="442"/>
      <c r="AH30" s="442"/>
      <c r="AI30" s="442"/>
      <c r="AJ30" s="442"/>
      <c r="AK30" s="442"/>
      <c r="AL30" s="442"/>
      <c r="AM30" s="442"/>
      <c r="AN30" s="442"/>
      <c r="AO30" s="442"/>
      <c r="AP30" s="442"/>
      <c r="AQ30" s="442"/>
      <c r="AR30" s="442"/>
      <c r="AS30" s="442"/>
      <c r="AT30" s="442"/>
      <c r="AU30" s="442"/>
      <c r="AV30" s="442"/>
      <c r="AW30" s="442"/>
      <c r="AX30" s="442"/>
      <c r="AY30" s="442"/>
      <c r="AZ30" s="442"/>
      <c r="BA30" s="442"/>
    </row>
    <row r="31" spans="1:53" ht="15.75" customHeight="1" x14ac:dyDescent="0.25">
      <c r="A31" s="405"/>
      <c r="B31" s="405"/>
      <c r="C31" s="405"/>
      <c r="D31" s="405"/>
      <c r="E31" s="405"/>
      <c r="F31" s="405"/>
      <c r="G31" s="405"/>
      <c r="H31" s="405"/>
      <c r="I31" s="405"/>
      <c r="J31" s="405"/>
      <c r="K31" s="405"/>
      <c r="L31" s="405"/>
      <c r="M31" s="405"/>
      <c r="N31" s="405"/>
      <c r="O31" s="405"/>
      <c r="Q31" s="442"/>
      <c r="R31" s="442"/>
      <c r="S31" s="442"/>
      <c r="T31" s="442"/>
      <c r="U31" s="442"/>
      <c r="V31" s="442"/>
      <c r="W31" s="442"/>
      <c r="X31" s="442"/>
      <c r="Y31" s="442"/>
      <c r="Z31" s="442"/>
      <c r="AA31" s="455"/>
      <c r="AB31" s="442"/>
      <c r="AC31" s="442"/>
      <c r="AD31" s="442"/>
      <c r="AE31" s="442"/>
      <c r="AF31" s="442"/>
      <c r="AG31" s="442"/>
      <c r="AH31" s="442"/>
      <c r="AI31" s="442"/>
      <c r="AJ31" s="442"/>
      <c r="AK31" s="442"/>
      <c r="AL31" s="442"/>
      <c r="AM31" s="442"/>
      <c r="AN31" s="442"/>
      <c r="AO31" s="442"/>
      <c r="AP31" s="442"/>
      <c r="AQ31" s="442"/>
      <c r="AR31" s="442"/>
      <c r="AS31" s="442"/>
      <c r="AT31" s="442"/>
      <c r="AU31" s="442"/>
      <c r="AV31" s="442"/>
      <c r="AW31" s="442"/>
      <c r="AX31" s="442"/>
      <c r="AY31" s="442"/>
      <c r="AZ31" s="442"/>
      <c r="BA31" s="442"/>
    </row>
    <row r="32" spans="1:53" ht="15.75" customHeight="1" x14ac:dyDescent="0.25">
      <c r="A32" s="405"/>
      <c r="B32" s="405"/>
      <c r="C32" s="405"/>
      <c r="D32" s="405"/>
      <c r="E32" s="405"/>
      <c r="F32" s="405"/>
      <c r="G32" s="405"/>
      <c r="H32" s="405"/>
      <c r="I32" s="405"/>
      <c r="J32" s="405"/>
      <c r="K32" s="405"/>
      <c r="L32" s="405"/>
      <c r="M32" s="405"/>
      <c r="N32" s="405"/>
      <c r="O32" s="405"/>
      <c r="Q32" s="442"/>
      <c r="R32" s="442"/>
      <c r="S32" s="442"/>
      <c r="T32" s="442"/>
      <c r="U32" s="442"/>
      <c r="V32" s="442"/>
      <c r="W32" s="442"/>
      <c r="X32" s="442"/>
      <c r="Y32" s="442"/>
      <c r="Z32" s="442"/>
      <c r="AA32" s="442"/>
      <c r="AB32" s="442"/>
      <c r="AC32" s="442"/>
      <c r="AD32" s="442"/>
      <c r="AE32" s="442"/>
      <c r="AF32" s="442"/>
      <c r="AG32" s="442"/>
      <c r="AH32" s="442"/>
      <c r="AI32" s="442"/>
      <c r="AJ32" s="442"/>
      <c r="AK32" s="442"/>
      <c r="AL32" s="442"/>
      <c r="AM32" s="442"/>
      <c r="AN32" s="442"/>
      <c r="AO32" s="442"/>
      <c r="AP32" s="442"/>
      <c r="AQ32" s="442"/>
      <c r="AR32" s="442"/>
      <c r="AS32" s="442"/>
      <c r="AT32" s="442"/>
      <c r="AU32" s="442"/>
      <c r="AV32" s="442"/>
      <c r="AW32" s="442"/>
      <c r="AX32" s="442"/>
      <c r="AY32" s="442"/>
      <c r="AZ32" s="442"/>
      <c r="BA32" s="442"/>
    </row>
    <row r="33" spans="1:53" x14ac:dyDescent="0.25">
      <c r="A33" s="405"/>
      <c r="F33" s="410"/>
      <c r="G33" s="405"/>
      <c r="H33" s="405"/>
      <c r="I33" s="405"/>
      <c r="J33" s="405"/>
      <c r="K33" s="405"/>
      <c r="L33" s="405"/>
      <c r="M33" s="405"/>
      <c r="N33" s="405"/>
      <c r="O33" s="405"/>
      <c r="Q33" s="457" t="s">
        <v>410</v>
      </c>
      <c r="R33" s="442"/>
      <c r="S33" s="442"/>
      <c r="T33" s="442"/>
      <c r="U33" s="442"/>
      <c r="V33" s="442"/>
      <c r="W33" s="442"/>
      <c r="X33" s="442"/>
      <c r="Y33" s="442"/>
      <c r="Z33" s="442"/>
      <c r="AA33" s="442"/>
      <c r="AB33" s="442"/>
      <c r="AC33" s="442"/>
      <c r="AD33" s="442"/>
      <c r="AE33" s="442"/>
      <c r="AF33" s="442"/>
      <c r="AG33" s="442"/>
      <c r="AH33" s="442"/>
      <c r="AI33" s="442"/>
      <c r="AJ33" s="442"/>
      <c r="AK33" s="442"/>
      <c r="AL33" s="442"/>
      <c r="AM33" s="442"/>
      <c r="AN33" s="442"/>
      <c r="AO33" s="442"/>
      <c r="AP33" s="442"/>
      <c r="AQ33" s="442"/>
      <c r="AR33" s="442"/>
      <c r="AS33" s="442"/>
      <c r="AT33" s="442"/>
      <c r="AU33" s="442"/>
      <c r="AV33" s="442"/>
      <c r="AW33" s="442"/>
      <c r="AX33" s="442"/>
      <c r="AY33" s="442"/>
      <c r="AZ33" s="442"/>
      <c r="BA33" s="442"/>
    </row>
    <row r="34" spans="1:53" ht="15.75" x14ac:dyDescent="0.25">
      <c r="A34" s="405"/>
      <c r="B34" s="405"/>
      <c r="C34" s="413"/>
      <c r="D34" s="405"/>
      <c r="E34" s="405"/>
      <c r="F34" s="405"/>
      <c r="G34" s="405"/>
      <c r="H34" s="405"/>
      <c r="I34" s="405"/>
      <c r="J34" s="405"/>
      <c r="K34" s="405" t="str">
        <f>IF('Wasserversorger &amp; Aufbereitung'!BL26&lt;0,"Achtung: Soda-Alkalisches Wasser!","")</f>
        <v/>
      </c>
      <c r="L34" s="405"/>
      <c r="M34" s="405"/>
      <c r="N34" s="405"/>
      <c r="O34" s="405"/>
      <c r="Q34" s="442" t="s">
        <v>431</v>
      </c>
      <c r="R34" s="442"/>
      <c r="S34" s="442"/>
      <c r="T34" s="442"/>
      <c r="U34" s="442"/>
      <c r="V34" s="442"/>
      <c r="W34" s="442"/>
      <c r="X34" s="442"/>
      <c r="Y34" s="442"/>
      <c r="Z34" s="442"/>
      <c r="AA34" s="442"/>
      <c r="AB34" s="442"/>
      <c r="AC34" s="442"/>
      <c r="AD34" s="442"/>
      <c r="AE34" s="442"/>
      <c r="AF34" s="442"/>
      <c r="AG34" s="442"/>
      <c r="AH34" s="442"/>
      <c r="AI34" s="442"/>
      <c r="AJ34" s="442"/>
      <c r="AK34" s="442"/>
      <c r="AL34" s="442"/>
      <c r="AM34" s="442"/>
      <c r="AN34" s="442"/>
      <c r="AO34" s="442"/>
      <c r="AP34" s="442"/>
      <c r="AQ34" s="442"/>
      <c r="AR34" s="442"/>
      <c r="AS34" s="442"/>
      <c r="AT34" s="442"/>
      <c r="AU34" s="442"/>
      <c r="AV34" s="442"/>
      <c r="AW34" s="442"/>
      <c r="AX34" s="442"/>
      <c r="AY34" s="442"/>
      <c r="AZ34" s="442"/>
      <c r="BA34" s="442"/>
    </row>
    <row r="35" spans="1:53" ht="16.5" thickBot="1" x14ac:dyDescent="0.3">
      <c r="A35" s="414"/>
      <c r="B35" s="414"/>
      <c r="C35" s="405"/>
      <c r="D35" s="405"/>
      <c r="E35" s="405"/>
      <c r="F35" s="405"/>
      <c r="G35" s="405"/>
      <c r="H35" s="405"/>
      <c r="I35" s="405"/>
      <c r="J35" s="405"/>
      <c r="K35" s="405"/>
      <c r="L35" s="414"/>
      <c r="M35" s="414"/>
      <c r="N35" s="414"/>
      <c r="O35" s="414"/>
      <c r="Q35" s="442"/>
      <c r="R35" s="442"/>
      <c r="S35" s="442"/>
      <c r="T35" s="444"/>
      <c r="U35" s="444" t="s">
        <v>435</v>
      </c>
      <c r="V35" s="460">
        <f>ABS(((Y30-5.5)/(0.013*Q30/(SUM(S17:S25)/1000)+0.013))/0.3556)</f>
        <v>8.4244978736631495</v>
      </c>
      <c r="W35" s="448" t="s">
        <v>411</v>
      </c>
      <c r="X35" s="461">
        <f>'Wasserversorger &amp; Aufbereitung'!BK32+IF(Y30&lt;5.5,V35,-V35)</f>
        <v>-5.3738312069964831</v>
      </c>
      <c r="Y35" s="442" t="str">
        <f>IF(Y30&gt;5.5,"°dH abgesenkt","°dH angehoben")</f>
        <v>°dH abgesenkt</v>
      </c>
      <c r="Z35" s="442" t="s">
        <v>429</v>
      </c>
      <c r="AA35" s="442"/>
      <c r="AB35" s="442"/>
      <c r="AC35" s="442"/>
      <c r="AD35" s="442"/>
      <c r="AE35" s="442"/>
      <c r="AF35" s="442"/>
      <c r="AG35" s="442"/>
      <c r="AH35" s="442"/>
      <c r="AI35" s="442"/>
      <c r="AJ35" s="442"/>
      <c r="AK35" s="442"/>
      <c r="AL35" s="442"/>
      <c r="AM35" s="442"/>
      <c r="AN35" s="442"/>
      <c r="AO35" s="442"/>
      <c r="AP35" s="442"/>
      <c r="AQ35" s="442"/>
      <c r="AR35" s="442"/>
      <c r="AS35" s="442"/>
      <c r="AT35" s="442"/>
      <c r="AU35" s="442"/>
      <c r="AV35" s="442"/>
      <c r="AW35" s="442"/>
      <c r="AX35" s="442"/>
      <c r="AY35" s="442"/>
      <c r="AZ35" s="442"/>
      <c r="BA35" s="442"/>
    </row>
    <row r="36" spans="1:53" x14ac:dyDescent="0.25">
      <c r="A36" s="414"/>
      <c r="B36" s="415"/>
      <c r="C36" s="416"/>
      <c r="D36" s="417" t="s">
        <v>1</v>
      </c>
      <c r="E36" s="418"/>
      <c r="F36" s="418"/>
      <c r="G36" s="419"/>
      <c r="H36" s="420"/>
      <c r="I36" s="418"/>
      <c r="J36" s="417" t="s">
        <v>0</v>
      </c>
      <c r="K36" s="418"/>
      <c r="L36" s="416"/>
      <c r="M36" s="421"/>
      <c r="N36" s="414"/>
      <c r="O36" s="414"/>
      <c r="Q36" s="442"/>
      <c r="R36" s="442"/>
      <c r="S36" s="442"/>
      <c r="T36" s="442"/>
      <c r="U36" s="442"/>
      <c r="V36" s="442"/>
      <c r="W36" s="442"/>
      <c r="X36" s="442"/>
      <c r="Y36" s="442"/>
      <c r="Z36" s="442"/>
      <c r="AA36" s="442"/>
      <c r="AB36" s="442"/>
      <c r="AC36" s="442"/>
      <c r="AD36" s="442"/>
      <c r="AE36" s="442"/>
      <c r="AF36" s="442"/>
      <c r="AG36" s="442"/>
      <c r="AH36" s="442"/>
      <c r="AI36" s="442"/>
      <c r="AJ36" s="442"/>
      <c r="AK36" s="442"/>
      <c r="AL36" s="442"/>
      <c r="AM36" s="442"/>
      <c r="AN36" s="442"/>
      <c r="AO36" s="442"/>
      <c r="AP36" s="442"/>
      <c r="AQ36" s="442"/>
      <c r="AR36" s="442"/>
      <c r="AS36" s="442"/>
      <c r="AT36" s="442"/>
      <c r="AU36" s="442"/>
      <c r="AV36" s="442"/>
      <c r="AW36" s="442"/>
      <c r="AX36" s="442"/>
      <c r="AY36" s="442"/>
      <c r="AZ36" s="442"/>
      <c r="BA36" s="442"/>
    </row>
    <row r="37" spans="1:53" x14ac:dyDescent="0.25">
      <c r="A37" s="414"/>
      <c r="B37" s="422"/>
      <c r="C37" s="414"/>
      <c r="D37" s="410" t="s">
        <v>5</v>
      </c>
      <c r="E37" s="423">
        <f>'Wasserversorger &amp; Aufbereitung'!BK20</f>
        <v>26.4</v>
      </c>
      <c r="F37" s="405" t="s">
        <v>8</v>
      </c>
      <c r="G37" s="424"/>
      <c r="H37" s="425"/>
      <c r="I37" s="405"/>
      <c r="J37" s="410" t="s">
        <v>10</v>
      </c>
      <c r="K37" s="423">
        <f>'Wasserversorger &amp; Aufbereitung'!BK13</f>
        <v>97.600000000000009</v>
      </c>
      <c r="L37" s="405" t="s">
        <v>8</v>
      </c>
      <c r="M37" s="426"/>
      <c r="N37" s="414"/>
      <c r="O37" s="414"/>
      <c r="Q37" s="442"/>
      <c r="R37" s="442"/>
      <c r="S37" s="442"/>
      <c r="T37" s="442"/>
      <c r="U37" s="442"/>
      <c r="V37" s="442"/>
      <c r="W37" s="442"/>
      <c r="X37" s="442"/>
      <c r="Y37" s="442"/>
      <c r="Z37" s="442"/>
      <c r="AA37" s="442"/>
      <c r="AB37" s="442"/>
      <c r="AC37" s="442"/>
      <c r="AD37" s="442"/>
      <c r="AE37" s="442"/>
      <c r="AF37" s="442"/>
      <c r="AG37" s="442"/>
      <c r="AH37" s="442"/>
      <c r="AI37" s="442"/>
      <c r="AJ37" s="442"/>
      <c r="AK37" s="442"/>
      <c r="AL37" s="442"/>
      <c r="AM37" s="442"/>
      <c r="AN37" s="442"/>
      <c r="AO37" s="442"/>
      <c r="AP37" s="442"/>
      <c r="AQ37" s="442"/>
      <c r="AR37" s="442"/>
      <c r="AS37" s="442"/>
      <c r="AT37" s="442"/>
      <c r="AU37" s="442"/>
      <c r="AV37" s="442"/>
      <c r="AW37" s="442"/>
      <c r="AX37" s="442"/>
      <c r="AY37" s="442"/>
      <c r="AZ37" s="442"/>
      <c r="BA37" s="442"/>
    </row>
    <row r="38" spans="1:53" x14ac:dyDescent="0.25">
      <c r="A38" s="414"/>
      <c r="B38" s="422"/>
      <c r="C38" s="414"/>
      <c r="D38" s="410" t="s">
        <v>6</v>
      </c>
      <c r="E38" s="423">
        <f>'Wasserversorger &amp; Aufbereitung'!BK21</f>
        <v>11.2</v>
      </c>
      <c r="F38" s="405" t="s">
        <v>8</v>
      </c>
      <c r="G38" s="424"/>
      <c r="H38" s="425"/>
      <c r="I38" s="405"/>
      <c r="J38" s="410" t="s">
        <v>3</v>
      </c>
      <c r="K38" s="423">
        <f>'Wasserversorger &amp; Aufbereitung'!BK14</f>
        <v>22</v>
      </c>
      <c r="L38" s="405" t="s">
        <v>8</v>
      </c>
      <c r="M38" s="426"/>
      <c r="N38" s="414"/>
      <c r="O38" s="414"/>
      <c r="Q38" s="442" t="s">
        <v>437</v>
      </c>
      <c r="R38" s="442"/>
      <c r="S38" s="442"/>
      <c r="T38" s="442"/>
      <c r="U38" s="442"/>
      <c r="V38" s="442"/>
      <c r="W38" s="442"/>
      <c r="X38" s="442"/>
      <c r="Y38" s="442"/>
      <c r="Z38" s="442"/>
      <c r="AA38" s="442"/>
      <c r="AB38" s="442"/>
      <c r="AC38" s="442"/>
      <c r="AD38" s="442"/>
      <c r="AE38" s="442"/>
      <c r="AF38" s="442"/>
      <c r="AG38" s="442"/>
      <c r="AH38" s="442"/>
      <c r="AI38" s="442"/>
      <c r="AJ38" s="442"/>
      <c r="AK38" s="442"/>
      <c r="AL38" s="442"/>
      <c r="AM38" s="442"/>
      <c r="AN38" s="442"/>
      <c r="AO38" s="442"/>
      <c r="AP38" s="442"/>
      <c r="AQ38" s="442"/>
      <c r="AR38" s="442"/>
      <c r="AS38" s="442"/>
      <c r="AT38" s="442"/>
      <c r="AU38" s="442"/>
      <c r="AV38" s="442"/>
      <c r="AW38" s="442"/>
      <c r="AX38" s="442"/>
      <c r="AY38" s="442"/>
      <c r="AZ38" s="442"/>
      <c r="BA38" s="442"/>
    </row>
    <row r="39" spans="1:53" x14ac:dyDescent="0.25">
      <c r="A39" s="414"/>
      <c r="B39" s="422"/>
      <c r="C39" s="414"/>
      <c r="D39" s="427" t="s">
        <v>7</v>
      </c>
      <c r="E39" s="423">
        <f>'Wasserversorger &amp; Aufbereitung'!BK22</f>
        <v>7.12</v>
      </c>
      <c r="F39" s="428" t="s">
        <v>8</v>
      </c>
      <c r="G39" s="424"/>
      <c r="H39" s="425"/>
      <c r="I39" s="405"/>
      <c r="J39" s="410" t="s">
        <v>4</v>
      </c>
      <c r="K39" s="423">
        <f>'Wasserversorger &amp; Aufbereitung'!BK15</f>
        <v>17</v>
      </c>
      <c r="L39" s="405" t="s">
        <v>8</v>
      </c>
      <c r="M39" s="426"/>
      <c r="N39" s="414"/>
      <c r="O39" s="414"/>
      <c r="Q39" s="442" t="s">
        <v>426</v>
      </c>
      <c r="R39" s="442"/>
      <c r="S39" s="442"/>
      <c r="T39" s="442"/>
      <c r="U39" s="442"/>
      <c r="V39" s="442"/>
      <c r="W39" s="442"/>
      <c r="X39" s="442"/>
      <c r="Y39" s="442"/>
      <c r="Z39" s="442"/>
      <c r="AA39" s="442"/>
      <c r="AB39" s="442"/>
      <c r="AC39" s="442"/>
      <c r="AD39" s="442"/>
      <c r="AE39" s="442"/>
      <c r="AF39" s="442"/>
      <c r="AG39" s="442"/>
      <c r="AH39" s="442"/>
      <c r="AI39" s="442"/>
      <c r="AJ39" s="442"/>
      <c r="AK39" s="442"/>
      <c r="AL39" s="442"/>
      <c r="AM39" s="442"/>
      <c r="AN39" s="442"/>
      <c r="AO39" s="442"/>
      <c r="AP39" s="442"/>
      <c r="AQ39" s="442"/>
      <c r="AR39" s="442"/>
      <c r="AS39" s="442"/>
      <c r="AT39" s="442"/>
      <c r="AU39" s="442"/>
      <c r="AV39" s="442"/>
      <c r="AW39" s="442"/>
      <c r="AX39" s="442"/>
      <c r="AY39" s="442"/>
      <c r="AZ39" s="442"/>
      <c r="BA39" s="442"/>
    </row>
    <row r="40" spans="1:53" x14ac:dyDescent="0.25">
      <c r="A40" s="414"/>
      <c r="B40" s="422"/>
      <c r="C40" s="414"/>
      <c r="D40" s="428"/>
      <c r="E40" s="427"/>
      <c r="F40" s="427"/>
      <c r="G40" s="429"/>
      <c r="H40" s="422"/>
      <c r="I40" s="405"/>
      <c r="J40" s="410" t="s">
        <v>30</v>
      </c>
      <c r="K40" s="423">
        <f>'Wasserversorger &amp; Aufbereitung'!BK16</f>
        <v>10</v>
      </c>
      <c r="L40" s="405" t="s">
        <v>8</v>
      </c>
      <c r="M40" s="426"/>
      <c r="N40" s="414"/>
      <c r="O40" s="414"/>
      <c r="Q40" s="442" t="s">
        <v>433</v>
      </c>
      <c r="R40" s="442"/>
      <c r="S40" s="442"/>
      <c r="T40" s="442"/>
      <c r="U40" s="442"/>
      <c r="V40" s="442"/>
      <c r="W40" s="442"/>
      <c r="X40" s="442"/>
      <c r="Y40" s="442"/>
      <c r="Z40" s="442"/>
      <c r="AA40" s="442"/>
      <c r="AB40" s="442"/>
      <c r="AC40" s="442"/>
      <c r="AD40" s="442"/>
      <c r="AE40" s="442"/>
      <c r="AF40" s="442"/>
      <c r="AG40" s="442"/>
      <c r="AH40" s="442"/>
      <c r="AI40" s="442"/>
      <c r="AJ40" s="442"/>
      <c r="AK40" s="442"/>
      <c r="AL40" s="442"/>
      <c r="AM40" s="442"/>
      <c r="AN40" s="442"/>
      <c r="AO40" s="442"/>
      <c r="AP40" s="442"/>
      <c r="AQ40" s="442"/>
      <c r="AR40" s="442"/>
      <c r="AS40" s="442"/>
      <c r="AT40" s="442"/>
      <c r="AU40" s="442"/>
      <c r="AV40" s="442"/>
      <c r="AW40" s="442"/>
      <c r="AX40" s="442"/>
      <c r="AY40" s="442"/>
      <c r="AZ40" s="442"/>
      <c r="BA40" s="442"/>
    </row>
    <row r="41" spans="1:53" ht="15.75" thickBot="1" x14ac:dyDescent="0.3">
      <c r="A41" s="414"/>
      <c r="B41" s="430"/>
      <c r="C41" s="431"/>
      <c r="D41" s="432"/>
      <c r="E41" s="433"/>
      <c r="F41" s="433"/>
      <c r="G41" s="434"/>
      <c r="H41" s="430"/>
      <c r="I41" s="431"/>
      <c r="J41" s="431"/>
      <c r="K41" s="431"/>
      <c r="L41" s="431"/>
      <c r="M41" s="435"/>
      <c r="N41" s="414"/>
      <c r="O41" s="414"/>
      <c r="Q41" s="442"/>
      <c r="R41" s="442"/>
      <c r="S41" s="442"/>
      <c r="T41" s="442"/>
      <c r="U41" s="442"/>
      <c r="V41" s="442"/>
      <c r="W41" s="442"/>
      <c r="X41" s="442"/>
      <c r="Y41" s="442"/>
      <c r="Z41" s="442"/>
      <c r="AA41" s="442"/>
      <c r="AB41" s="442"/>
      <c r="AC41" s="442"/>
      <c r="AD41" s="442"/>
      <c r="AE41" s="442"/>
      <c r="AF41" s="442"/>
      <c r="AG41" s="442"/>
      <c r="AH41" s="442"/>
      <c r="AI41" s="442"/>
      <c r="AJ41" s="442"/>
      <c r="AK41" s="442"/>
      <c r="AL41" s="442"/>
      <c r="AM41" s="442"/>
      <c r="AN41" s="442"/>
      <c r="AO41" s="442"/>
      <c r="AP41" s="442"/>
      <c r="AQ41" s="442"/>
      <c r="AR41" s="442"/>
      <c r="AS41" s="442"/>
      <c r="AT41" s="442"/>
      <c r="AU41" s="442"/>
      <c r="AV41" s="442"/>
      <c r="AW41" s="442"/>
      <c r="AX41" s="442"/>
      <c r="AY41" s="442"/>
      <c r="AZ41" s="442"/>
      <c r="BA41" s="442"/>
    </row>
    <row r="42" spans="1:53" x14ac:dyDescent="0.25">
      <c r="A42" s="414"/>
      <c r="B42" s="414"/>
      <c r="C42" s="414"/>
      <c r="D42" s="405"/>
      <c r="E42" s="405"/>
      <c r="F42" s="405"/>
      <c r="G42" s="405"/>
      <c r="H42" s="405"/>
      <c r="I42" s="405"/>
      <c r="J42" s="405"/>
      <c r="K42" s="405"/>
      <c r="L42" s="414"/>
      <c r="M42" s="414"/>
      <c r="N42" s="414"/>
      <c r="O42" s="414"/>
      <c r="Q42" s="442"/>
      <c r="R42" s="442"/>
      <c r="S42" s="442"/>
      <c r="T42" s="442"/>
      <c r="U42" s="442"/>
      <c r="V42" s="442"/>
      <c r="W42" s="442"/>
      <c r="X42" s="442"/>
      <c r="Y42" s="442"/>
      <c r="Z42" s="442"/>
      <c r="AA42" s="442"/>
      <c r="AB42" s="442"/>
      <c r="AC42" s="442"/>
      <c r="AD42" s="442"/>
      <c r="AE42" s="442"/>
      <c r="AF42" s="442"/>
      <c r="AG42" s="442"/>
      <c r="AH42" s="442"/>
      <c r="AI42" s="442"/>
      <c r="AJ42" s="442"/>
      <c r="AK42" s="442"/>
      <c r="AL42" s="442"/>
      <c r="AM42" s="442"/>
      <c r="AN42" s="442"/>
      <c r="AO42" s="442"/>
      <c r="AP42" s="442"/>
      <c r="AQ42" s="442"/>
      <c r="AR42" s="442"/>
      <c r="AS42" s="442"/>
      <c r="AT42" s="442"/>
      <c r="AU42" s="442"/>
      <c r="AV42" s="442"/>
      <c r="AW42" s="442"/>
      <c r="AX42" s="442"/>
      <c r="AY42" s="442"/>
      <c r="AZ42" s="442"/>
      <c r="BA42" s="442"/>
    </row>
    <row r="43" spans="1:53" x14ac:dyDescent="0.25">
      <c r="A43" s="414"/>
      <c r="B43" s="414"/>
      <c r="C43" s="414"/>
      <c r="D43" s="428"/>
      <c r="E43" s="427"/>
      <c r="F43" s="405"/>
      <c r="G43" s="428"/>
      <c r="H43" s="414"/>
      <c r="I43" s="414"/>
      <c r="J43" s="414"/>
      <c r="K43" s="414"/>
      <c r="L43" s="414"/>
      <c r="M43" s="414"/>
      <c r="N43" s="414"/>
      <c r="O43" s="414"/>
      <c r="Q43" s="442"/>
      <c r="R43" s="442"/>
      <c r="S43" s="442"/>
      <c r="T43" s="442"/>
      <c r="U43" s="442"/>
      <c r="V43" s="442"/>
      <c r="W43" s="442"/>
      <c r="X43" s="442"/>
      <c r="Y43" s="442"/>
      <c r="Z43" s="442"/>
      <c r="AA43" s="442"/>
      <c r="AB43" s="442"/>
      <c r="AC43" s="442"/>
      <c r="AD43" s="442"/>
      <c r="AE43" s="442"/>
      <c r="AF43" s="442"/>
      <c r="AG43" s="442"/>
      <c r="AH43" s="442"/>
      <c r="AI43" s="442"/>
      <c r="AJ43" s="442"/>
      <c r="AK43" s="442"/>
      <c r="AL43" s="442"/>
      <c r="AM43" s="442"/>
      <c r="AN43" s="442"/>
      <c r="AO43" s="442"/>
      <c r="AP43" s="442"/>
      <c r="AQ43" s="442"/>
      <c r="AR43" s="442"/>
      <c r="AS43" s="442"/>
      <c r="AT43" s="442"/>
      <c r="AU43" s="442"/>
      <c r="AV43" s="442"/>
      <c r="AW43" s="442"/>
      <c r="AX43" s="442"/>
      <c r="AY43" s="442"/>
      <c r="AZ43" s="442"/>
      <c r="BA43" s="442"/>
    </row>
    <row r="44" spans="1:53" x14ac:dyDescent="0.25">
      <c r="A44" s="414"/>
      <c r="B44" s="414"/>
      <c r="C44" s="414"/>
      <c r="D44" s="428"/>
      <c r="E44" s="427"/>
      <c r="F44" s="405"/>
      <c r="G44" s="428"/>
      <c r="H44" s="414"/>
      <c r="I44" s="414"/>
      <c r="J44" s="414"/>
      <c r="K44" s="414"/>
      <c r="L44" s="414"/>
      <c r="M44" s="414"/>
      <c r="N44" s="414"/>
      <c r="O44" s="414"/>
      <c r="Q44" s="442"/>
      <c r="R44" s="442"/>
      <c r="S44" s="442"/>
      <c r="T44" s="442"/>
      <c r="U44" s="442"/>
      <c r="V44" s="442"/>
      <c r="W44" s="442"/>
      <c r="X44" s="442"/>
      <c r="Y44" s="442"/>
      <c r="Z44" s="442"/>
      <c r="AA44" s="442"/>
      <c r="AB44" s="442"/>
      <c r="AC44" s="442"/>
      <c r="AD44" s="442"/>
      <c r="AE44" s="442"/>
      <c r="AF44" s="442"/>
      <c r="AG44" s="442"/>
      <c r="AH44" s="442"/>
      <c r="AI44" s="442"/>
      <c r="AJ44" s="442"/>
      <c r="AK44" s="442"/>
      <c r="AL44" s="442"/>
      <c r="AM44" s="442"/>
      <c r="AN44" s="442"/>
      <c r="AO44" s="442"/>
      <c r="AP44" s="442"/>
      <c r="AQ44" s="442"/>
      <c r="AR44" s="442"/>
      <c r="AS44" s="442"/>
      <c r="AT44" s="442"/>
      <c r="AU44" s="442"/>
      <c r="AV44" s="442"/>
      <c r="AW44" s="442"/>
      <c r="AX44" s="442"/>
      <c r="AY44" s="442"/>
      <c r="AZ44" s="442"/>
      <c r="BA44" s="442"/>
    </row>
    <row r="45" spans="1:53" x14ac:dyDescent="0.25">
      <c r="A45" s="414"/>
      <c r="B45" s="414"/>
      <c r="C45" s="414"/>
      <c r="D45" s="428"/>
      <c r="E45" s="427"/>
      <c r="F45" s="405"/>
      <c r="G45" s="428"/>
      <c r="H45" s="414"/>
      <c r="I45" s="414"/>
      <c r="J45" s="414"/>
      <c r="K45" s="414"/>
      <c r="L45" s="414"/>
      <c r="M45" s="414"/>
      <c r="N45" s="414"/>
      <c r="O45" s="414"/>
      <c r="Q45" s="442"/>
      <c r="R45" s="442"/>
      <c r="S45" s="442"/>
      <c r="T45" s="442"/>
      <c r="U45" s="442"/>
      <c r="V45" s="442"/>
      <c r="W45" s="442"/>
      <c r="X45" s="442"/>
      <c r="Y45" s="442"/>
      <c r="Z45" s="442"/>
      <c r="AA45" s="442"/>
      <c r="AB45" s="442"/>
      <c r="AC45" s="442"/>
      <c r="AD45" s="442"/>
      <c r="AE45" s="442"/>
      <c r="AF45" s="442"/>
      <c r="AG45" s="442"/>
      <c r="AH45" s="442"/>
      <c r="AI45" s="442"/>
      <c r="AJ45" s="442"/>
      <c r="AK45" s="442"/>
      <c r="AL45" s="442"/>
      <c r="AM45" s="442"/>
      <c r="AN45" s="442"/>
      <c r="AO45" s="442"/>
      <c r="AP45" s="442"/>
      <c r="AQ45" s="442"/>
      <c r="AR45" s="442"/>
      <c r="AS45" s="442"/>
      <c r="AT45" s="442"/>
      <c r="AU45" s="442"/>
      <c r="AV45" s="442"/>
      <c r="AW45" s="442"/>
      <c r="AX45" s="442"/>
      <c r="AY45" s="442"/>
      <c r="AZ45" s="442"/>
      <c r="BA45" s="442"/>
    </row>
    <row r="46" spans="1:53" x14ac:dyDescent="0.25">
      <c r="A46" s="414"/>
      <c r="B46" s="414"/>
      <c r="C46" s="414"/>
      <c r="D46" s="428"/>
      <c r="E46" s="427"/>
      <c r="F46" s="405"/>
      <c r="G46" s="428"/>
      <c r="H46" s="414"/>
      <c r="I46" s="414"/>
      <c r="J46" s="414"/>
      <c r="K46" s="414"/>
      <c r="L46" s="414"/>
      <c r="M46" s="414"/>
      <c r="N46" s="414"/>
      <c r="O46" s="414"/>
      <c r="Q46" s="442"/>
      <c r="R46" s="442"/>
      <c r="S46" s="442"/>
      <c r="T46" s="442"/>
      <c r="U46" s="442"/>
      <c r="V46" s="442"/>
      <c r="W46" s="442"/>
      <c r="X46" s="442"/>
      <c r="Y46" s="442"/>
      <c r="Z46" s="442"/>
      <c r="AA46" s="442"/>
      <c r="AB46" s="442"/>
      <c r="AC46" s="442"/>
      <c r="AD46" s="442"/>
      <c r="AE46" s="442"/>
      <c r="AF46" s="442"/>
      <c r="AG46" s="442"/>
      <c r="AH46" s="442"/>
      <c r="AI46" s="442"/>
      <c r="AJ46" s="442"/>
      <c r="AK46" s="442"/>
      <c r="AL46" s="442"/>
      <c r="AM46" s="442"/>
      <c r="AN46" s="442"/>
      <c r="AO46" s="442"/>
      <c r="AP46" s="442"/>
      <c r="AQ46" s="442"/>
      <c r="AR46" s="442"/>
      <c r="AS46" s="442"/>
      <c r="AT46" s="442"/>
      <c r="AU46" s="442"/>
      <c r="AV46" s="442"/>
      <c r="AW46" s="442"/>
      <c r="AX46" s="442"/>
      <c r="AY46" s="442"/>
      <c r="AZ46" s="442"/>
      <c r="BA46" s="442"/>
    </row>
    <row r="47" spans="1:53" x14ac:dyDescent="0.25">
      <c r="A47" s="405"/>
      <c r="B47" s="405"/>
      <c r="C47" s="405"/>
      <c r="D47" s="405"/>
      <c r="E47" s="405"/>
      <c r="F47" s="405"/>
      <c r="G47" s="405"/>
      <c r="H47" s="405"/>
      <c r="I47" s="405"/>
      <c r="J47" s="405"/>
      <c r="K47" s="405"/>
      <c r="L47" s="405"/>
      <c r="M47" s="405"/>
      <c r="N47" s="405"/>
      <c r="O47" s="405"/>
      <c r="Q47" s="442"/>
      <c r="R47" s="442"/>
      <c r="S47" s="442"/>
      <c r="T47" s="442"/>
      <c r="U47" s="442"/>
      <c r="V47" s="442"/>
      <c r="W47" s="442"/>
      <c r="X47" s="442"/>
      <c r="Y47" s="442"/>
      <c r="Z47" s="442"/>
      <c r="AA47" s="442"/>
      <c r="AB47" s="442"/>
      <c r="AC47" s="442"/>
      <c r="AD47" s="442"/>
      <c r="AE47" s="442"/>
      <c r="AF47" s="442"/>
      <c r="AG47" s="442"/>
      <c r="AH47" s="442"/>
      <c r="AI47" s="442"/>
      <c r="AJ47" s="442"/>
      <c r="AK47" s="442"/>
      <c r="AL47" s="442"/>
      <c r="AM47" s="442"/>
      <c r="AN47" s="442"/>
      <c r="AO47" s="442"/>
      <c r="AP47" s="442"/>
      <c r="AQ47" s="442"/>
      <c r="AR47" s="442"/>
      <c r="AS47" s="442"/>
      <c r="AT47" s="442"/>
      <c r="AU47" s="442"/>
      <c r="AV47" s="442"/>
      <c r="AW47" s="442"/>
      <c r="AX47" s="442"/>
      <c r="AY47" s="442"/>
      <c r="AZ47" s="442"/>
      <c r="BA47" s="442"/>
    </row>
    <row r="48" spans="1:53" x14ac:dyDescent="0.25">
      <c r="A48" s="405"/>
      <c r="B48" s="405"/>
      <c r="C48" s="405"/>
      <c r="D48" s="405"/>
      <c r="E48" s="405"/>
      <c r="F48" s="405"/>
      <c r="G48" s="405"/>
      <c r="H48" s="405"/>
      <c r="I48" s="405"/>
      <c r="J48" s="405"/>
      <c r="K48" s="405"/>
      <c r="L48" s="405"/>
      <c r="M48" s="405"/>
      <c r="N48" s="405"/>
      <c r="O48" s="405"/>
      <c r="Q48" s="442"/>
      <c r="R48" s="442"/>
      <c r="S48" s="442"/>
      <c r="T48" s="442"/>
      <c r="U48" s="442"/>
      <c r="V48" s="442"/>
      <c r="W48" s="442"/>
      <c r="X48" s="442"/>
      <c r="Y48" s="442"/>
      <c r="Z48" s="442"/>
      <c r="AA48" s="442"/>
      <c r="AB48" s="442"/>
      <c r="AC48" s="442"/>
      <c r="AD48" s="442"/>
      <c r="AE48" s="442"/>
      <c r="AF48" s="442"/>
      <c r="AG48" s="442"/>
      <c r="AH48" s="442"/>
      <c r="AI48" s="442"/>
      <c r="AJ48" s="442"/>
      <c r="AK48" s="442"/>
      <c r="AL48" s="442"/>
      <c r="AM48" s="442"/>
      <c r="AN48" s="442"/>
      <c r="AO48" s="442"/>
      <c r="AP48" s="442"/>
      <c r="AQ48" s="442"/>
      <c r="AR48" s="442"/>
      <c r="AS48" s="442"/>
      <c r="AT48" s="442"/>
      <c r="AU48" s="442"/>
      <c r="AV48" s="442"/>
      <c r="AW48" s="442"/>
      <c r="AX48" s="442"/>
      <c r="AY48" s="442"/>
      <c r="AZ48" s="442"/>
      <c r="BA48" s="442"/>
    </row>
    <row r="49" spans="1:53" x14ac:dyDescent="0.25">
      <c r="A49" s="405"/>
      <c r="B49" s="405"/>
      <c r="C49" s="405"/>
      <c r="D49" s="405"/>
      <c r="E49" s="405"/>
      <c r="F49" s="405"/>
      <c r="G49" s="405"/>
      <c r="H49" s="405"/>
      <c r="I49" s="405"/>
      <c r="J49" s="405"/>
      <c r="K49" s="405"/>
      <c r="L49" s="405"/>
      <c r="M49" s="405"/>
      <c r="N49" s="405"/>
      <c r="O49" s="405"/>
      <c r="Q49" s="442"/>
      <c r="R49" s="442"/>
      <c r="S49" s="442"/>
      <c r="T49" s="442"/>
      <c r="U49" s="442"/>
      <c r="V49" s="442"/>
      <c r="W49" s="442"/>
      <c r="X49" s="442"/>
      <c r="Y49" s="442"/>
      <c r="Z49" s="442"/>
      <c r="AA49" s="442"/>
      <c r="AB49" s="442"/>
      <c r="AC49" s="442"/>
      <c r="AD49" s="442"/>
      <c r="AE49" s="442"/>
      <c r="AF49" s="442"/>
      <c r="AG49" s="442"/>
      <c r="AH49" s="442"/>
      <c r="AI49" s="442"/>
      <c r="AJ49" s="442"/>
      <c r="AK49" s="442"/>
      <c r="AL49" s="442"/>
      <c r="AM49" s="442"/>
      <c r="AN49" s="442"/>
      <c r="AO49" s="442"/>
      <c r="AP49" s="442"/>
      <c r="AQ49" s="442"/>
      <c r="AR49" s="442"/>
      <c r="AS49" s="442"/>
      <c r="AT49" s="442"/>
      <c r="AU49" s="442"/>
      <c r="AV49" s="442"/>
      <c r="AW49" s="442"/>
      <c r="AX49" s="442"/>
      <c r="AY49" s="442"/>
      <c r="AZ49" s="442"/>
      <c r="BA49" s="442"/>
    </row>
    <row r="50" spans="1:53" x14ac:dyDescent="0.25">
      <c r="A50" s="405"/>
      <c r="B50" s="405"/>
      <c r="C50" s="405"/>
      <c r="D50" s="405"/>
      <c r="E50" s="405"/>
      <c r="F50" s="405"/>
      <c r="G50" s="405"/>
      <c r="H50" s="405"/>
      <c r="I50" s="405"/>
      <c r="J50" s="405"/>
      <c r="K50" s="405"/>
      <c r="L50" s="405"/>
      <c r="M50" s="405"/>
      <c r="N50" s="405"/>
      <c r="O50" s="405"/>
      <c r="Q50" s="442"/>
      <c r="R50" s="442"/>
      <c r="S50" s="442"/>
      <c r="T50" s="442"/>
      <c r="U50" s="442"/>
      <c r="V50" s="442"/>
      <c r="W50" s="442"/>
      <c r="X50" s="442"/>
      <c r="Y50" s="442"/>
      <c r="Z50" s="442"/>
      <c r="AA50" s="442"/>
      <c r="AB50" s="442"/>
      <c r="AC50" s="442"/>
      <c r="AD50" s="442"/>
      <c r="AE50" s="442"/>
      <c r="AF50" s="442"/>
      <c r="AG50" s="442"/>
      <c r="AH50" s="442"/>
      <c r="AI50" s="442"/>
      <c r="AJ50" s="442"/>
      <c r="AK50" s="442"/>
      <c r="AL50" s="442"/>
      <c r="AM50" s="442"/>
      <c r="AN50" s="442"/>
      <c r="AO50" s="442"/>
      <c r="AP50" s="442"/>
      <c r="AQ50" s="442"/>
      <c r="AR50" s="442"/>
      <c r="AS50" s="442"/>
      <c r="AT50" s="442"/>
      <c r="AU50" s="442"/>
      <c r="AV50" s="442"/>
      <c r="AW50" s="442"/>
      <c r="AX50" s="442"/>
      <c r="AY50" s="442"/>
      <c r="AZ50" s="442"/>
      <c r="BA50" s="442"/>
    </row>
    <row r="51" spans="1:53" x14ac:dyDescent="0.25">
      <c r="A51" s="405"/>
      <c r="B51" s="405"/>
      <c r="C51" s="405"/>
      <c r="D51" s="405"/>
      <c r="E51" s="405"/>
      <c r="F51" s="405"/>
      <c r="G51" s="405"/>
      <c r="H51" s="405"/>
      <c r="I51" s="405"/>
      <c r="J51" s="405"/>
      <c r="K51" s="405"/>
      <c r="L51" s="405"/>
      <c r="M51" s="405"/>
      <c r="N51" s="405"/>
      <c r="O51" s="405"/>
      <c r="Q51" s="442"/>
      <c r="R51" s="442"/>
      <c r="S51" s="442"/>
      <c r="T51" s="442"/>
      <c r="U51" s="442"/>
      <c r="V51" s="442"/>
      <c r="W51" s="442"/>
      <c r="X51" s="442"/>
      <c r="Y51" s="442"/>
      <c r="Z51" s="442"/>
      <c r="AA51" s="442"/>
      <c r="AB51" s="442"/>
      <c r="AC51" s="442"/>
      <c r="AD51" s="442"/>
      <c r="AE51" s="442"/>
      <c r="AF51" s="442"/>
      <c r="AG51" s="442"/>
      <c r="AH51" s="442"/>
      <c r="AI51" s="442"/>
      <c r="AJ51" s="442"/>
      <c r="AK51" s="442"/>
      <c r="AL51" s="442"/>
      <c r="AM51" s="442"/>
      <c r="AN51" s="442"/>
      <c r="AO51" s="442"/>
      <c r="AP51" s="442"/>
      <c r="AQ51" s="442"/>
      <c r="AR51" s="442"/>
      <c r="AS51" s="442"/>
      <c r="AT51" s="442"/>
      <c r="AU51" s="442"/>
      <c r="AV51" s="442"/>
      <c r="AW51" s="442"/>
      <c r="AX51" s="442"/>
      <c r="AY51" s="442"/>
      <c r="AZ51" s="442"/>
      <c r="BA51" s="442"/>
    </row>
    <row r="52" spans="1:53" x14ac:dyDescent="0.25">
      <c r="A52" s="405"/>
      <c r="B52" s="405"/>
      <c r="C52" s="405"/>
      <c r="D52" s="405"/>
      <c r="E52" s="405"/>
      <c r="F52" s="405"/>
      <c r="G52" s="405"/>
      <c r="H52" s="405"/>
      <c r="I52" s="405"/>
      <c r="J52" s="405"/>
      <c r="K52" s="405"/>
      <c r="L52" s="405"/>
      <c r="M52" s="405"/>
      <c r="N52" s="405"/>
      <c r="O52" s="405"/>
      <c r="Q52" s="442"/>
      <c r="R52" s="442"/>
      <c r="S52" s="442"/>
      <c r="T52" s="442"/>
      <c r="U52" s="442"/>
      <c r="V52" s="442"/>
      <c r="W52" s="442"/>
      <c r="X52" s="442"/>
      <c r="Y52" s="442"/>
      <c r="Z52" s="442"/>
      <c r="AA52" s="442"/>
      <c r="AB52" s="442"/>
      <c r="AC52" s="442"/>
      <c r="AD52" s="442"/>
      <c r="AE52" s="442"/>
      <c r="AF52" s="442"/>
      <c r="AG52" s="442"/>
      <c r="AH52" s="442"/>
      <c r="AI52" s="442"/>
      <c r="AJ52" s="442"/>
      <c r="AK52" s="442"/>
      <c r="AL52" s="442"/>
      <c r="AM52" s="442"/>
      <c r="AN52" s="442"/>
      <c r="AO52" s="442"/>
      <c r="AP52" s="442"/>
      <c r="AQ52" s="442"/>
      <c r="AR52" s="442"/>
      <c r="AS52" s="442"/>
      <c r="AT52" s="442"/>
      <c r="AU52" s="442"/>
      <c r="AV52" s="442"/>
      <c r="AW52" s="442"/>
      <c r="AX52" s="442"/>
      <c r="AY52" s="442"/>
      <c r="AZ52" s="442"/>
      <c r="BA52" s="442"/>
    </row>
    <row r="53" spans="1:53" x14ac:dyDescent="0.25">
      <c r="Q53" s="442"/>
      <c r="R53" s="442"/>
      <c r="S53" s="442"/>
      <c r="T53" s="442"/>
      <c r="U53" s="442"/>
      <c r="V53" s="442"/>
      <c r="W53" s="442"/>
      <c r="X53" s="442"/>
      <c r="Y53" s="442"/>
      <c r="Z53" s="442"/>
      <c r="AA53" s="442"/>
      <c r="AB53" s="442"/>
      <c r="AC53" s="442"/>
      <c r="AD53" s="442"/>
      <c r="AE53" s="442"/>
      <c r="AF53" s="442"/>
      <c r="AG53" s="442"/>
      <c r="AH53" s="442"/>
      <c r="AI53" s="442"/>
      <c r="AJ53" s="442"/>
      <c r="AK53" s="442"/>
      <c r="AL53" s="442"/>
      <c r="AM53" s="442"/>
      <c r="AN53" s="442"/>
      <c r="AO53" s="442"/>
      <c r="AP53" s="442"/>
      <c r="AQ53" s="442"/>
      <c r="AR53" s="442"/>
      <c r="AS53" s="442"/>
      <c r="AT53" s="442"/>
      <c r="AU53" s="442"/>
      <c r="AV53" s="442"/>
      <c r="AW53" s="442"/>
      <c r="AX53" s="442"/>
      <c r="AY53" s="442"/>
      <c r="AZ53" s="442"/>
      <c r="BA53" s="442"/>
    </row>
    <row r="54" spans="1:53" x14ac:dyDescent="0.25">
      <c r="Q54" s="442"/>
      <c r="R54" s="442"/>
      <c r="S54" s="442"/>
      <c r="T54" s="442"/>
      <c r="U54" s="442"/>
      <c r="V54" s="442"/>
      <c r="W54" s="442"/>
      <c r="X54" s="442"/>
      <c r="Y54" s="442"/>
      <c r="Z54" s="442"/>
      <c r="AA54" s="442"/>
      <c r="AB54" s="442"/>
      <c r="AC54" s="442"/>
      <c r="AD54" s="442"/>
      <c r="AE54" s="442"/>
      <c r="AF54" s="442"/>
      <c r="AG54" s="442"/>
      <c r="AH54" s="442"/>
      <c r="AI54" s="442"/>
      <c r="AJ54" s="442"/>
      <c r="AK54" s="442"/>
      <c r="AL54" s="442"/>
      <c r="AM54" s="442"/>
      <c r="AN54" s="442"/>
      <c r="AO54" s="442"/>
      <c r="AP54" s="442"/>
      <c r="AQ54" s="442"/>
      <c r="AR54" s="442"/>
      <c r="AS54" s="442"/>
      <c r="AT54" s="442"/>
      <c r="AU54" s="442"/>
      <c r="AV54" s="442"/>
      <c r="AW54" s="442"/>
      <c r="AX54" s="442"/>
      <c r="AY54" s="442"/>
      <c r="AZ54" s="442"/>
      <c r="BA54" s="442"/>
    </row>
    <row r="55" spans="1:53" x14ac:dyDescent="0.25">
      <c r="Q55" s="442"/>
      <c r="R55" s="442"/>
      <c r="S55" s="442"/>
      <c r="T55" s="442"/>
      <c r="U55" s="442"/>
      <c r="V55" s="442"/>
      <c r="W55" s="442"/>
      <c r="X55" s="442"/>
      <c r="Y55" s="442"/>
      <c r="Z55" s="442"/>
      <c r="AA55" s="442"/>
      <c r="AB55" s="442"/>
      <c r="AC55" s="442"/>
      <c r="AD55" s="442"/>
      <c r="AE55" s="442"/>
      <c r="AF55" s="442"/>
      <c r="AG55" s="442"/>
      <c r="AH55" s="442"/>
      <c r="AI55" s="442"/>
      <c r="AJ55" s="442"/>
      <c r="AK55" s="442"/>
      <c r="AL55" s="442"/>
      <c r="AM55" s="442"/>
      <c r="AN55" s="442"/>
      <c r="AO55" s="442"/>
      <c r="AP55" s="442"/>
      <c r="AQ55" s="442"/>
      <c r="AR55" s="442"/>
      <c r="AS55" s="442"/>
      <c r="AT55" s="442"/>
      <c r="AU55" s="442"/>
      <c r="AV55" s="442"/>
      <c r="AW55" s="442"/>
      <c r="AX55" s="442"/>
      <c r="AY55" s="442"/>
      <c r="AZ55" s="442"/>
      <c r="BA55" s="442"/>
    </row>
    <row r="56" spans="1:53" x14ac:dyDescent="0.25">
      <c r="Q56" s="442"/>
      <c r="R56" s="442"/>
      <c r="S56" s="442"/>
      <c r="T56" s="442"/>
      <c r="U56" s="442"/>
      <c r="V56" s="442"/>
      <c r="W56" s="442"/>
      <c r="X56" s="442"/>
      <c r="Y56" s="442"/>
      <c r="Z56" s="442"/>
      <c r="AA56" s="442"/>
      <c r="AB56" s="442"/>
      <c r="AC56" s="442"/>
      <c r="AD56" s="442"/>
      <c r="AE56" s="442"/>
      <c r="AF56" s="442"/>
      <c r="AG56" s="442"/>
      <c r="AH56" s="442"/>
      <c r="AI56" s="442"/>
      <c r="AJ56" s="442"/>
      <c r="AK56" s="442"/>
      <c r="AL56" s="442"/>
      <c r="AM56" s="442"/>
      <c r="AN56" s="442"/>
      <c r="AO56" s="442"/>
      <c r="AP56" s="442"/>
      <c r="AQ56" s="442"/>
      <c r="AR56" s="442"/>
      <c r="AS56" s="442"/>
      <c r="AT56" s="442"/>
      <c r="AU56" s="442"/>
      <c r="AV56" s="442"/>
      <c r="AW56" s="442"/>
      <c r="AX56" s="442"/>
      <c r="AY56" s="442"/>
      <c r="AZ56" s="442"/>
      <c r="BA56" s="442"/>
    </row>
    <row r="57" spans="1:53" x14ac:dyDescent="0.25">
      <c r="Q57" s="442"/>
      <c r="R57" s="442"/>
      <c r="S57" s="442"/>
      <c r="T57" s="442"/>
      <c r="U57" s="442"/>
      <c r="V57" s="442"/>
      <c r="W57" s="442"/>
      <c r="X57" s="442"/>
      <c r="Y57" s="442"/>
      <c r="Z57" s="442"/>
      <c r="AA57" s="442"/>
      <c r="AB57" s="442"/>
      <c r="AC57" s="442"/>
      <c r="AD57" s="442"/>
      <c r="AE57" s="442"/>
      <c r="AF57" s="442"/>
      <c r="AG57" s="442"/>
      <c r="AH57" s="442"/>
      <c r="AI57" s="442"/>
      <c r="AJ57" s="442"/>
      <c r="AK57" s="442"/>
      <c r="AL57" s="442"/>
      <c r="AM57" s="442"/>
      <c r="AN57" s="442"/>
      <c r="AO57" s="442"/>
      <c r="AP57" s="442"/>
      <c r="AQ57" s="442"/>
      <c r="AR57" s="442"/>
      <c r="AS57" s="442"/>
      <c r="AT57" s="442"/>
      <c r="AU57" s="442"/>
      <c r="AV57" s="442"/>
      <c r="AW57" s="442"/>
      <c r="AX57" s="442"/>
      <c r="AY57" s="442"/>
      <c r="AZ57" s="442"/>
      <c r="BA57" s="442"/>
    </row>
    <row r="58" spans="1:53" x14ac:dyDescent="0.25">
      <c r="Q58" s="442"/>
      <c r="R58" s="442"/>
      <c r="S58" s="442"/>
      <c r="T58" s="442"/>
      <c r="U58" s="442"/>
      <c r="V58" s="442"/>
      <c r="W58" s="442"/>
      <c r="X58" s="442"/>
      <c r="Y58" s="442"/>
      <c r="Z58" s="442"/>
      <c r="AA58" s="442"/>
      <c r="AB58" s="442"/>
      <c r="AC58" s="442"/>
      <c r="AD58" s="442"/>
      <c r="AE58" s="442"/>
      <c r="AF58" s="442"/>
      <c r="AG58" s="442"/>
      <c r="AH58" s="442"/>
      <c r="AI58" s="442"/>
      <c r="AJ58" s="442"/>
      <c r="AK58" s="442"/>
      <c r="AL58" s="442"/>
      <c r="AM58" s="442"/>
      <c r="AN58" s="442"/>
      <c r="AO58" s="442"/>
      <c r="AP58" s="442"/>
      <c r="AQ58" s="442"/>
      <c r="AR58" s="442"/>
      <c r="AS58" s="442"/>
      <c r="AT58" s="442"/>
      <c r="AU58" s="442"/>
      <c r="AV58" s="442"/>
      <c r="AW58" s="442"/>
      <c r="AX58" s="442"/>
      <c r="AY58" s="442"/>
      <c r="AZ58" s="442"/>
      <c r="BA58" s="442"/>
    </row>
    <row r="59" spans="1:53" x14ac:dyDescent="0.25">
      <c r="Q59" s="442"/>
      <c r="R59" s="442"/>
      <c r="S59" s="442"/>
      <c r="T59" s="442"/>
      <c r="U59" s="442"/>
      <c r="V59" s="442"/>
      <c r="W59" s="442"/>
      <c r="X59" s="442"/>
      <c r="Y59" s="442"/>
      <c r="Z59" s="442"/>
      <c r="AA59" s="442"/>
      <c r="AB59" s="442"/>
      <c r="AC59" s="442"/>
      <c r="AD59" s="442"/>
      <c r="AE59" s="442"/>
      <c r="AF59" s="442"/>
      <c r="AG59" s="442"/>
      <c r="AH59" s="442"/>
      <c r="AI59" s="442"/>
      <c r="AJ59" s="442"/>
      <c r="AK59" s="442"/>
      <c r="AL59" s="442"/>
      <c r="AM59" s="442"/>
      <c r="AN59" s="442"/>
      <c r="AO59" s="442"/>
      <c r="AP59" s="442"/>
      <c r="AQ59" s="442"/>
      <c r="AR59" s="442"/>
      <c r="AS59" s="442"/>
      <c r="AT59" s="442"/>
      <c r="AU59" s="442"/>
      <c r="AV59" s="442"/>
      <c r="AW59" s="442"/>
      <c r="AX59" s="442"/>
      <c r="AY59" s="442"/>
      <c r="AZ59" s="442"/>
      <c r="BA59" s="442"/>
    </row>
    <row r="60" spans="1:53" x14ac:dyDescent="0.25">
      <c r="Q60" s="442"/>
      <c r="R60" s="442"/>
      <c r="S60" s="442"/>
      <c r="T60" s="442"/>
      <c r="U60" s="442"/>
      <c r="V60" s="442"/>
      <c r="W60" s="442"/>
      <c r="X60" s="442"/>
      <c r="Y60" s="442"/>
      <c r="Z60" s="442"/>
      <c r="AA60" s="442"/>
      <c r="AB60" s="442"/>
      <c r="AC60" s="442"/>
      <c r="AD60" s="442"/>
      <c r="AE60" s="442"/>
      <c r="AF60" s="442"/>
      <c r="AG60" s="442"/>
      <c r="AH60" s="442"/>
      <c r="AI60" s="442"/>
      <c r="AJ60" s="442"/>
      <c r="AK60" s="442"/>
      <c r="AL60" s="442"/>
      <c r="AM60" s="442"/>
      <c r="AN60" s="442"/>
      <c r="AO60" s="442"/>
      <c r="AP60" s="442"/>
      <c r="AQ60" s="442"/>
      <c r="AR60" s="442"/>
      <c r="AS60" s="442"/>
      <c r="AT60" s="442"/>
      <c r="AU60" s="442"/>
      <c r="AV60" s="442"/>
      <c r="AW60" s="442"/>
      <c r="AX60" s="442"/>
      <c r="AY60" s="442"/>
      <c r="AZ60" s="442"/>
      <c r="BA60" s="442"/>
    </row>
    <row r="61" spans="1:53" x14ac:dyDescent="0.25">
      <c r="Q61" s="442"/>
      <c r="R61" s="442"/>
      <c r="S61" s="442"/>
      <c r="T61" s="442"/>
      <c r="U61" s="442"/>
      <c r="V61" s="442"/>
      <c r="W61" s="442"/>
      <c r="X61" s="442"/>
      <c r="Y61" s="442"/>
      <c r="Z61" s="442"/>
      <c r="AA61" s="442"/>
      <c r="AB61" s="442"/>
      <c r="AC61" s="442"/>
      <c r="AD61" s="442"/>
      <c r="AE61" s="442"/>
      <c r="AF61" s="442"/>
      <c r="AG61" s="442"/>
      <c r="AH61" s="442"/>
      <c r="AI61" s="442"/>
      <c r="AJ61" s="442"/>
      <c r="AK61" s="442"/>
      <c r="AL61" s="442"/>
      <c r="AM61" s="442"/>
      <c r="AN61" s="442"/>
      <c r="AO61" s="442"/>
      <c r="AP61" s="442"/>
      <c r="AQ61" s="442"/>
      <c r="AR61" s="442"/>
      <c r="AS61" s="442"/>
      <c r="AT61" s="442"/>
      <c r="AU61" s="442"/>
      <c r="AV61" s="442"/>
      <c r="AW61" s="442"/>
      <c r="AX61" s="442"/>
      <c r="AY61" s="442"/>
      <c r="AZ61" s="442"/>
      <c r="BA61" s="442"/>
    </row>
    <row r="62" spans="1:53" x14ac:dyDescent="0.25">
      <c r="Q62" s="442"/>
      <c r="R62" s="442"/>
      <c r="S62" s="442"/>
      <c r="T62" s="442"/>
      <c r="U62" s="442"/>
      <c r="V62" s="442"/>
      <c r="W62" s="442"/>
      <c r="X62" s="442"/>
      <c r="Y62" s="442"/>
      <c r="Z62" s="442"/>
      <c r="AA62" s="442"/>
      <c r="AB62" s="442"/>
      <c r="AC62" s="442"/>
      <c r="AD62" s="442"/>
      <c r="AE62" s="442"/>
      <c r="AF62" s="442"/>
      <c r="AG62" s="442"/>
      <c r="AH62" s="442"/>
      <c r="AI62" s="442"/>
      <c r="AJ62" s="442"/>
      <c r="AK62" s="442"/>
      <c r="AL62" s="442"/>
      <c r="AM62" s="442"/>
      <c r="AN62" s="442"/>
      <c r="AO62" s="442"/>
      <c r="AP62" s="442"/>
      <c r="AQ62" s="442"/>
      <c r="AR62" s="442"/>
      <c r="AS62" s="442"/>
      <c r="AT62" s="442"/>
      <c r="AU62" s="442"/>
      <c r="AV62" s="442"/>
      <c r="AW62" s="442"/>
      <c r="AX62" s="442"/>
      <c r="AY62" s="442"/>
      <c r="AZ62" s="442"/>
      <c r="BA62" s="442"/>
    </row>
    <row r="63" spans="1:53" x14ac:dyDescent="0.25">
      <c r="Q63" s="442"/>
      <c r="R63" s="442"/>
      <c r="S63" s="442"/>
      <c r="T63" s="442"/>
      <c r="U63" s="442"/>
      <c r="V63" s="442"/>
      <c r="W63" s="442"/>
      <c r="X63" s="442"/>
      <c r="Y63" s="442"/>
      <c r="Z63" s="442"/>
      <c r="AA63" s="442"/>
      <c r="AB63" s="442"/>
      <c r="AC63" s="442"/>
      <c r="AD63" s="442"/>
      <c r="AE63" s="442"/>
      <c r="AF63" s="442"/>
      <c r="AG63" s="442"/>
      <c r="AH63" s="442"/>
      <c r="AI63" s="442"/>
      <c r="AJ63" s="442"/>
      <c r="AK63" s="442"/>
      <c r="AL63" s="442"/>
      <c r="AM63" s="442"/>
      <c r="AN63" s="442"/>
      <c r="AO63" s="442"/>
      <c r="AP63" s="442"/>
      <c r="AQ63" s="442"/>
      <c r="AR63" s="442"/>
      <c r="AS63" s="442"/>
      <c r="AT63" s="442"/>
      <c r="AU63" s="442"/>
      <c r="AV63" s="442"/>
      <c r="AW63" s="442"/>
      <c r="AX63" s="442"/>
      <c r="AY63" s="442"/>
      <c r="AZ63" s="442"/>
      <c r="BA63" s="442"/>
    </row>
    <row r="64" spans="1:53" x14ac:dyDescent="0.25">
      <c r="Q64" s="442"/>
      <c r="R64" s="442"/>
      <c r="S64" s="442"/>
      <c r="T64" s="442"/>
      <c r="U64" s="442"/>
      <c r="V64" s="442"/>
      <c r="W64" s="442"/>
      <c r="X64" s="442"/>
      <c r="Y64" s="442"/>
      <c r="Z64" s="442"/>
      <c r="AA64" s="442"/>
      <c r="AB64" s="442"/>
      <c r="AC64" s="442"/>
      <c r="AD64" s="442"/>
      <c r="AE64" s="442"/>
      <c r="AF64" s="442"/>
      <c r="AG64" s="442"/>
      <c r="AH64" s="442"/>
      <c r="AI64" s="442"/>
      <c r="AJ64" s="442"/>
      <c r="AK64" s="442"/>
      <c r="AL64" s="442"/>
      <c r="AM64" s="442"/>
      <c r="AN64" s="442"/>
      <c r="AO64" s="442"/>
      <c r="AP64" s="442"/>
      <c r="AQ64" s="442"/>
      <c r="AR64" s="442"/>
      <c r="AS64" s="442"/>
      <c r="AT64" s="442"/>
      <c r="AU64" s="442"/>
      <c r="AV64" s="442"/>
      <c r="AW64" s="442"/>
      <c r="AX64" s="442"/>
      <c r="AY64" s="442"/>
      <c r="AZ64" s="442"/>
      <c r="BA64" s="442"/>
    </row>
    <row r="65" spans="12:53" x14ac:dyDescent="0.25">
      <c r="Q65" s="442"/>
      <c r="R65" s="442"/>
      <c r="S65" s="442"/>
      <c r="T65" s="442"/>
      <c r="U65" s="442"/>
      <c r="V65" s="442"/>
      <c r="W65" s="442"/>
      <c r="X65" s="442"/>
      <c r="Y65" s="442"/>
      <c r="Z65" s="442"/>
      <c r="AA65" s="442"/>
      <c r="AB65" s="442"/>
      <c r="AC65" s="442"/>
      <c r="AD65" s="442"/>
      <c r="AE65" s="442"/>
      <c r="AF65" s="442"/>
      <c r="AG65" s="442"/>
      <c r="AH65" s="442"/>
      <c r="AI65" s="442"/>
      <c r="AJ65" s="442"/>
      <c r="AK65" s="442"/>
      <c r="AL65" s="442"/>
      <c r="AM65" s="442"/>
      <c r="AN65" s="442"/>
      <c r="AO65" s="442"/>
      <c r="AP65" s="442"/>
      <c r="AQ65" s="442"/>
      <c r="AR65" s="442"/>
      <c r="AS65" s="442"/>
      <c r="AT65" s="442"/>
      <c r="AU65" s="442"/>
      <c r="AV65" s="442"/>
      <c r="AW65" s="442"/>
      <c r="AX65" s="442"/>
      <c r="AY65" s="442"/>
      <c r="AZ65" s="442"/>
      <c r="BA65" s="442"/>
    </row>
    <row r="66" spans="12:53" x14ac:dyDescent="0.25">
      <c r="Q66" s="442"/>
      <c r="R66" s="442"/>
      <c r="S66" s="442"/>
      <c r="T66" s="442"/>
      <c r="U66" s="442"/>
      <c r="V66" s="442"/>
      <c r="W66" s="442"/>
      <c r="X66" s="442"/>
      <c r="Y66" s="442"/>
      <c r="Z66" s="442"/>
      <c r="AA66" s="442"/>
      <c r="AB66" s="442"/>
      <c r="AC66" s="442"/>
      <c r="AD66" s="442"/>
      <c r="AE66" s="442"/>
      <c r="AF66" s="442"/>
      <c r="AG66" s="442"/>
      <c r="AH66" s="442"/>
      <c r="AI66" s="442"/>
      <c r="AJ66" s="442"/>
      <c r="AK66" s="442"/>
      <c r="AL66" s="442"/>
      <c r="AM66" s="442"/>
      <c r="AN66" s="442"/>
      <c r="AO66" s="442"/>
      <c r="AP66" s="442"/>
      <c r="AQ66" s="442"/>
      <c r="AR66" s="442"/>
      <c r="AS66" s="442"/>
      <c r="AT66" s="442"/>
      <c r="AU66" s="442"/>
      <c r="AV66" s="442"/>
      <c r="AW66" s="442"/>
      <c r="AX66" s="442"/>
      <c r="AY66" s="442"/>
      <c r="AZ66" s="442"/>
      <c r="BA66" s="442"/>
    </row>
    <row r="67" spans="12:53" x14ac:dyDescent="0.25">
      <c r="Q67" s="442"/>
      <c r="R67" s="442"/>
      <c r="S67" s="442"/>
      <c r="T67" s="442"/>
      <c r="U67" s="442"/>
      <c r="V67" s="442"/>
      <c r="W67" s="442"/>
      <c r="X67" s="442"/>
      <c r="Y67" s="442"/>
      <c r="Z67" s="442"/>
      <c r="AA67" s="442"/>
      <c r="AB67" s="442"/>
      <c r="AC67" s="442"/>
      <c r="AD67" s="442"/>
      <c r="AE67" s="442"/>
      <c r="AF67" s="442"/>
      <c r="AG67" s="442"/>
      <c r="AH67" s="442"/>
      <c r="AI67" s="442"/>
      <c r="AJ67" s="442"/>
      <c r="AK67" s="442"/>
      <c r="AL67" s="442"/>
      <c r="AM67" s="442"/>
      <c r="AN67" s="442"/>
      <c r="AO67" s="442"/>
      <c r="AP67" s="442"/>
      <c r="AQ67" s="442"/>
      <c r="AR67" s="442"/>
      <c r="AS67" s="442"/>
      <c r="AT67" s="442"/>
      <c r="AU67" s="442"/>
      <c r="AV67" s="442"/>
      <c r="AW67" s="442"/>
      <c r="AX67" s="442"/>
      <c r="AY67" s="442"/>
      <c r="AZ67" s="442"/>
      <c r="BA67" s="442"/>
    </row>
    <row r="68" spans="12:53" x14ac:dyDescent="0.25">
      <c r="Q68" s="442"/>
      <c r="R68" s="442"/>
      <c r="S68" s="442"/>
      <c r="T68" s="442"/>
      <c r="U68" s="442"/>
      <c r="V68" s="442"/>
      <c r="W68" s="442"/>
      <c r="X68" s="442"/>
      <c r="Y68" s="442"/>
      <c r="Z68" s="442"/>
      <c r="AA68" s="442"/>
      <c r="AB68" s="442"/>
      <c r="AC68" s="442"/>
      <c r="AD68" s="442"/>
      <c r="AE68" s="442"/>
      <c r="AF68" s="442"/>
      <c r="AG68" s="442"/>
      <c r="AH68" s="442"/>
      <c r="AI68" s="442"/>
      <c r="AJ68" s="442"/>
      <c r="AK68" s="442"/>
      <c r="AL68" s="442"/>
      <c r="AM68" s="442"/>
      <c r="AN68" s="442"/>
      <c r="AO68" s="442"/>
      <c r="AP68" s="442"/>
      <c r="AQ68" s="442"/>
      <c r="AR68" s="442"/>
      <c r="AS68" s="442"/>
      <c r="AT68" s="442"/>
      <c r="AU68" s="442"/>
      <c r="AV68" s="442"/>
      <c r="AW68" s="442"/>
      <c r="AX68" s="442"/>
      <c r="AY68" s="442"/>
      <c r="AZ68" s="442"/>
      <c r="BA68" s="442"/>
    </row>
    <row r="78" spans="12:53" x14ac:dyDescent="0.25">
      <c r="L78" s="436"/>
    </row>
    <row r="100" spans="12:12" x14ac:dyDescent="0.25">
      <c r="L100" s="436"/>
    </row>
    <row r="142" spans="1:15" x14ac:dyDescent="0.25">
      <c r="A142" s="437"/>
      <c r="B142" s="437"/>
      <c r="C142" s="437"/>
      <c r="D142" s="437"/>
      <c r="E142" s="437"/>
      <c r="F142" s="437"/>
      <c r="G142" s="437"/>
      <c r="H142" s="437"/>
      <c r="I142" s="437"/>
      <c r="J142" s="437"/>
      <c r="K142" s="437"/>
      <c r="L142" s="437"/>
      <c r="M142" s="437"/>
      <c r="N142" s="437"/>
      <c r="O142" s="437"/>
    </row>
    <row r="143" spans="1:15" x14ac:dyDescent="0.25">
      <c r="A143" s="437"/>
      <c r="B143" s="437"/>
      <c r="C143" s="437"/>
      <c r="D143" s="437"/>
      <c r="E143" s="437"/>
      <c r="F143" s="437"/>
      <c r="G143" s="437"/>
      <c r="H143" s="437"/>
      <c r="I143" s="437"/>
      <c r="J143" s="437"/>
      <c r="K143" s="437"/>
      <c r="L143" s="437"/>
      <c r="M143" s="437"/>
      <c r="N143" s="437"/>
      <c r="O143" s="437"/>
    </row>
    <row r="144" spans="1:15" x14ac:dyDescent="0.25">
      <c r="A144" s="437"/>
      <c r="O144" s="437"/>
    </row>
    <row r="145" spans="1:15" x14ac:dyDescent="0.25">
      <c r="A145" s="437"/>
      <c r="O145" s="437"/>
    </row>
    <row r="146" spans="1:15" x14ac:dyDescent="0.25">
      <c r="A146" s="437"/>
      <c r="O146" s="437"/>
    </row>
    <row r="147" spans="1:15" x14ac:dyDescent="0.25">
      <c r="A147" s="437"/>
      <c r="O147" s="437"/>
    </row>
    <row r="148" spans="1:15" x14ac:dyDescent="0.25">
      <c r="A148" s="437"/>
      <c r="O148" s="437"/>
    </row>
    <row r="149" spans="1:15" x14ac:dyDescent="0.25">
      <c r="A149" s="437"/>
      <c r="O149" s="437"/>
    </row>
    <row r="150" spans="1:15" x14ac:dyDescent="0.25">
      <c r="A150" s="437"/>
      <c r="O150" s="437"/>
    </row>
    <row r="151" spans="1:15" x14ac:dyDescent="0.25">
      <c r="A151" s="437"/>
      <c r="O151" s="437"/>
    </row>
    <row r="152" spans="1:15" x14ac:dyDescent="0.25">
      <c r="A152" s="437"/>
      <c r="O152" s="437"/>
    </row>
    <row r="153" spans="1:15" x14ac:dyDescent="0.25">
      <c r="A153" s="437"/>
      <c r="O153" s="437"/>
    </row>
    <row r="154" spans="1:15" x14ac:dyDescent="0.25">
      <c r="A154" s="437"/>
      <c r="O154" s="437"/>
    </row>
    <row r="155" spans="1:15" x14ac:dyDescent="0.25">
      <c r="A155" s="437"/>
      <c r="O155" s="437"/>
    </row>
    <row r="156" spans="1:15" x14ac:dyDescent="0.25">
      <c r="A156" s="437"/>
      <c r="O156" s="437"/>
    </row>
    <row r="157" spans="1:15" x14ac:dyDescent="0.25">
      <c r="A157" s="437"/>
      <c r="O157" s="437"/>
    </row>
    <row r="158" spans="1:15" x14ac:dyDescent="0.25">
      <c r="A158" s="437"/>
      <c r="O158" s="437"/>
    </row>
    <row r="159" spans="1:15" x14ac:dyDescent="0.25">
      <c r="A159" s="437"/>
      <c r="O159" s="437"/>
    </row>
    <row r="160" spans="1:15" x14ac:dyDescent="0.25">
      <c r="A160" s="437"/>
      <c r="O160" s="437"/>
    </row>
    <row r="161" spans="1:15" x14ac:dyDescent="0.25">
      <c r="A161" s="437"/>
      <c r="O161" s="437"/>
    </row>
    <row r="162" spans="1:15" x14ac:dyDescent="0.25">
      <c r="A162" s="437"/>
      <c r="O162" s="437"/>
    </row>
    <row r="163" spans="1:15" x14ac:dyDescent="0.25">
      <c r="A163" s="437"/>
      <c r="O163" s="437"/>
    </row>
    <row r="164" spans="1:15" x14ac:dyDescent="0.25">
      <c r="A164" s="437"/>
      <c r="O164" s="437"/>
    </row>
    <row r="165" spans="1:15" x14ac:dyDescent="0.25">
      <c r="A165" s="437"/>
      <c r="O165" s="437"/>
    </row>
    <row r="166" spans="1:15" x14ac:dyDescent="0.25">
      <c r="A166" s="437"/>
      <c r="O166" s="437"/>
    </row>
    <row r="167" spans="1:15" x14ac:dyDescent="0.25">
      <c r="A167" s="437"/>
      <c r="O167" s="437"/>
    </row>
    <row r="168" spans="1:15" x14ac:dyDescent="0.25">
      <c r="A168" s="437"/>
      <c r="O168" s="437"/>
    </row>
    <row r="169" spans="1:15" x14ac:dyDescent="0.25">
      <c r="A169" s="437"/>
      <c r="O169" s="437"/>
    </row>
    <row r="170" spans="1:15" x14ac:dyDescent="0.25">
      <c r="A170" s="437"/>
      <c r="O170" s="437"/>
    </row>
    <row r="171" spans="1:15" x14ac:dyDescent="0.25">
      <c r="A171" s="437"/>
      <c r="O171" s="437"/>
    </row>
    <row r="172" spans="1:15" x14ac:dyDescent="0.25">
      <c r="A172" s="437"/>
      <c r="O172" s="437"/>
    </row>
    <row r="173" spans="1:15" x14ac:dyDescent="0.25">
      <c r="A173" s="437"/>
      <c r="O173" s="437"/>
    </row>
    <row r="174" spans="1:15" x14ac:dyDescent="0.25">
      <c r="A174" s="437"/>
      <c r="O174" s="437"/>
    </row>
    <row r="175" spans="1:15" x14ac:dyDescent="0.25">
      <c r="A175" s="437"/>
      <c r="O175" s="437"/>
    </row>
    <row r="176" spans="1:15" x14ac:dyDescent="0.25">
      <c r="A176" s="437"/>
      <c r="O176" s="437"/>
    </row>
    <row r="177" spans="1:15" x14ac:dyDescent="0.25">
      <c r="A177" s="437"/>
      <c r="O177" s="437"/>
    </row>
    <row r="178" spans="1:15" x14ac:dyDescent="0.25">
      <c r="A178" s="437"/>
      <c r="O178" s="437"/>
    </row>
    <row r="179" spans="1:15" x14ac:dyDescent="0.25">
      <c r="A179" s="437"/>
      <c r="O179" s="437"/>
    </row>
    <row r="180" spans="1:15" x14ac:dyDescent="0.25">
      <c r="A180" s="437"/>
      <c r="O180" s="437"/>
    </row>
    <row r="181" spans="1:15" x14ac:dyDescent="0.25">
      <c r="A181" s="437"/>
      <c r="O181" s="437"/>
    </row>
    <row r="182" spans="1:15" x14ac:dyDescent="0.25">
      <c r="A182" s="437"/>
      <c r="O182" s="437"/>
    </row>
    <row r="183" spans="1:15" x14ac:dyDescent="0.25">
      <c r="A183" s="437"/>
      <c r="O183" s="437"/>
    </row>
    <row r="184" spans="1:15" x14ac:dyDescent="0.25">
      <c r="A184" s="437"/>
      <c r="O184" s="437"/>
    </row>
    <row r="185" spans="1:15" x14ac:dyDescent="0.25">
      <c r="A185" s="437"/>
      <c r="O185" s="437"/>
    </row>
    <row r="186" spans="1:15" x14ac:dyDescent="0.25">
      <c r="A186" s="437"/>
      <c r="O186" s="437"/>
    </row>
    <row r="187" spans="1:15" x14ac:dyDescent="0.25">
      <c r="A187" s="437"/>
      <c r="O187" s="437"/>
    </row>
    <row r="188" spans="1:15" x14ac:dyDescent="0.25">
      <c r="A188" s="437"/>
      <c r="O188" s="437"/>
    </row>
    <row r="189" spans="1:15" x14ac:dyDescent="0.25">
      <c r="A189" s="437"/>
      <c r="O189" s="437"/>
    </row>
    <row r="190" spans="1:15" x14ac:dyDescent="0.25">
      <c r="A190" s="437"/>
      <c r="O190" s="437"/>
    </row>
    <row r="191" spans="1:15" x14ac:dyDescent="0.25">
      <c r="A191" s="437"/>
      <c r="O191" s="437"/>
    </row>
    <row r="192" spans="1:15" x14ac:dyDescent="0.25">
      <c r="A192" s="437"/>
      <c r="O192" s="437"/>
    </row>
    <row r="193" spans="1:15" x14ac:dyDescent="0.25">
      <c r="A193" s="437"/>
      <c r="O193" s="437"/>
    </row>
    <row r="194" spans="1:15" x14ac:dyDescent="0.25">
      <c r="A194" s="437"/>
      <c r="O194" s="437"/>
    </row>
    <row r="195" spans="1:15" x14ac:dyDescent="0.25">
      <c r="A195" s="437"/>
      <c r="O195" s="437"/>
    </row>
    <row r="196" spans="1:15" x14ac:dyDescent="0.25">
      <c r="A196" s="437"/>
      <c r="O196" s="437"/>
    </row>
    <row r="197" spans="1:15" x14ac:dyDescent="0.25">
      <c r="A197" s="437"/>
      <c r="O197" s="437"/>
    </row>
    <row r="198" spans="1:15" x14ac:dyDescent="0.25">
      <c r="A198" s="437"/>
      <c r="O198" s="437"/>
    </row>
    <row r="199" spans="1:15" x14ac:dyDescent="0.25">
      <c r="A199" s="437"/>
      <c r="O199" s="437"/>
    </row>
    <row r="200" spans="1:15" x14ac:dyDescent="0.25">
      <c r="A200" s="437"/>
      <c r="O200" s="437"/>
    </row>
    <row r="201" spans="1:15" x14ac:dyDescent="0.25">
      <c r="A201" s="437"/>
      <c r="O201" s="437"/>
    </row>
    <row r="202" spans="1:15" x14ac:dyDescent="0.25">
      <c r="A202" s="437"/>
      <c r="O202" s="437"/>
    </row>
    <row r="203" spans="1:15" x14ac:dyDescent="0.25">
      <c r="A203" s="437"/>
      <c r="O203" s="437"/>
    </row>
    <row r="204" spans="1:15" x14ac:dyDescent="0.25">
      <c r="A204" s="437"/>
      <c r="O204" s="437"/>
    </row>
    <row r="205" spans="1:15" x14ac:dyDescent="0.25">
      <c r="A205" s="437"/>
      <c r="O205" s="437"/>
    </row>
    <row r="206" spans="1:15" x14ac:dyDescent="0.25">
      <c r="A206" s="437"/>
      <c r="O206" s="437"/>
    </row>
    <row r="207" spans="1:15" x14ac:dyDescent="0.25">
      <c r="A207" s="437"/>
      <c r="O207" s="437"/>
    </row>
    <row r="208" spans="1:15" x14ac:dyDescent="0.25">
      <c r="A208" s="437"/>
      <c r="O208" s="437"/>
    </row>
    <row r="209" spans="1:15" x14ac:dyDescent="0.25">
      <c r="A209" s="437"/>
      <c r="O209" s="437"/>
    </row>
    <row r="210" spans="1:15" x14ac:dyDescent="0.25">
      <c r="A210" s="437"/>
      <c r="O210" s="437"/>
    </row>
    <row r="211" spans="1:15" x14ac:dyDescent="0.25">
      <c r="A211" s="437"/>
      <c r="O211" s="437"/>
    </row>
    <row r="212" spans="1:15" x14ac:dyDescent="0.25">
      <c r="A212" s="437"/>
      <c r="O212" s="437"/>
    </row>
    <row r="213" spans="1:15" x14ac:dyDescent="0.25">
      <c r="A213" s="437"/>
      <c r="O213" s="437"/>
    </row>
    <row r="214" spans="1:15" x14ac:dyDescent="0.25">
      <c r="A214" s="437"/>
      <c r="O214" s="437"/>
    </row>
    <row r="215" spans="1:15" x14ac:dyDescent="0.25">
      <c r="A215" s="437"/>
      <c r="O215" s="437"/>
    </row>
    <row r="216" spans="1:15" x14ac:dyDescent="0.25">
      <c r="A216" s="437"/>
      <c r="O216" s="437"/>
    </row>
    <row r="217" spans="1:15" x14ac:dyDescent="0.25">
      <c r="A217" s="437"/>
      <c r="O217" s="437"/>
    </row>
    <row r="218" spans="1:15" x14ac:dyDescent="0.25">
      <c r="A218" s="437"/>
      <c r="O218" s="437"/>
    </row>
    <row r="219" spans="1:15" x14ac:dyDescent="0.25">
      <c r="A219" s="437"/>
      <c r="O219" s="437"/>
    </row>
    <row r="220" spans="1:15" x14ac:dyDescent="0.25">
      <c r="A220" s="437"/>
      <c r="O220" s="437"/>
    </row>
    <row r="221" spans="1:15" x14ac:dyDescent="0.25">
      <c r="A221" s="437"/>
      <c r="O221" s="437"/>
    </row>
    <row r="222" spans="1:15" x14ac:dyDescent="0.25">
      <c r="A222" s="437"/>
      <c r="O222" s="437"/>
    </row>
    <row r="223" spans="1:15" x14ac:dyDescent="0.25">
      <c r="A223" s="437"/>
      <c r="O223" s="437"/>
    </row>
    <row r="224" spans="1:15" x14ac:dyDescent="0.25">
      <c r="A224" s="437"/>
      <c r="O224" s="437"/>
    </row>
    <row r="225" spans="1:15" x14ac:dyDescent="0.25">
      <c r="A225" s="437"/>
      <c r="O225" s="437"/>
    </row>
    <row r="226" spans="1:15" x14ac:dyDescent="0.25">
      <c r="A226" s="437"/>
      <c r="O226" s="437"/>
    </row>
    <row r="227" spans="1:15" x14ac:dyDescent="0.25">
      <c r="A227" s="437"/>
      <c r="O227" s="437"/>
    </row>
    <row r="228" spans="1:15" x14ac:dyDescent="0.25">
      <c r="A228" s="437"/>
      <c r="O228" s="437"/>
    </row>
    <row r="229" spans="1:15" x14ac:dyDescent="0.25">
      <c r="A229" s="437"/>
      <c r="O229" s="437"/>
    </row>
    <row r="230" spans="1:15" x14ac:dyDescent="0.25">
      <c r="A230" s="437"/>
      <c r="O230" s="437"/>
    </row>
    <row r="231" spans="1:15" x14ac:dyDescent="0.25">
      <c r="A231" s="437"/>
      <c r="O231" s="437"/>
    </row>
    <row r="232" spans="1:15" x14ac:dyDescent="0.25">
      <c r="A232" s="437"/>
      <c r="O232" s="437"/>
    </row>
    <row r="233" spans="1:15" x14ac:dyDescent="0.25">
      <c r="A233" s="437"/>
      <c r="O233" s="437"/>
    </row>
    <row r="234" spans="1:15" x14ac:dyDescent="0.25">
      <c r="A234" s="437"/>
      <c r="O234" s="437"/>
    </row>
    <row r="235" spans="1:15" x14ac:dyDescent="0.25">
      <c r="A235" s="437"/>
      <c r="O235" s="437"/>
    </row>
    <row r="236" spans="1:15" x14ac:dyDescent="0.25">
      <c r="A236" s="437"/>
      <c r="O236" s="437"/>
    </row>
    <row r="237" spans="1:15" x14ac:dyDescent="0.25">
      <c r="A237" s="437"/>
      <c r="O237" s="437"/>
    </row>
    <row r="238" spans="1:15" x14ac:dyDescent="0.25">
      <c r="A238" s="437"/>
      <c r="O238" s="437"/>
    </row>
    <row r="239" spans="1:15" x14ac:dyDescent="0.25">
      <c r="A239" s="437"/>
      <c r="O239" s="437"/>
    </row>
    <row r="240" spans="1:15" x14ac:dyDescent="0.25">
      <c r="A240" s="437"/>
      <c r="O240" s="437"/>
    </row>
    <row r="241" spans="1:15" x14ac:dyDescent="0.25">
      <c r="A241" s="437"/>
      <c r="O241" s="437"/>
    </row>
    <row r="242" spans="1:15" x14ac:dyDescent="0.25">
      <c r="A242" s="437"/>
      <c r="O242" s="437"/>
    </row>
    <row r="243" spans="1:15" x14ac:dyDescent="0.25">
      <c r="A243" s="437"/>
      <c r="O243" s="437"/>
    </row>
    <row r="244" spans="1:15" x14ac:dyDescent="0.25">
      <c r="A244" s="437"/>
      <c r="O244" s="437"/>
    </row>
    <row r="245" spans="1:15" x14ac:dyDescent="0.25">
      <c r="A245" s="437"/>
      <c r="O245" s="437"/>
    </row>
    <row r="246" spans="1:15" x14ac:dyDescent="0.25">
      <c r="A246" s="437"/>
      <c r="O246" s="437"/>
    </row>
    <row r="247" spans="1:15" x14ac:dyDescent="0.25">
      <c r="A247" s="437"/>
      <c r="O247" s="437"/>
    </row>
    <row r="248" spans="1:15" x14ac:dyDescent="0.25">
      <c r="A248" s="437"/>
      <c r="O248" s="437"/>
    </row>
    <row r="249" spans="1:15" x14ac:dyDescent="0.25">
      <c r="A249" s="437"/>
      <c r="O249" s="437"/>
    </row>
    <row r="250" spans="1:15" x14ac:dyDescent="0.25">
      <c r="A250" s="437"/>
      <c r="O250" s="437"/>
    </row>
    <row r="251" spans="1:15" x14ac:dyDescent="0.25">
      <c r="A251" s="437"/>
      <c r="O251" s="437"/>
    </row>
    <row r="252" spans="1:15" x14ac:dyDescent="0.25">
      <c r="A252" s="437"/>
      <c r="O252" s="437"/>
    </row>
    <row r="253" spans="1:15" x14ac:dyDescent="0.25">
      <c r="A253" s="437"/>
      <c r="O253" s="437"/>
    </row>
    <row r="254" spans="1:15" x14ac:dyDescent="0.25">
      <c r="A254" s="437"/>
      <c r="O254" s="437"/>
    </row>
    <row r="255" spans="1:15" x14ac:dyDescent="0.25">
      <c r="A255" s="437"/>
      <c r="O255" s="437"/>
    </row>
    <row r="256" spans="1:15" x14ac:dyDescent="0.25">
      <c r="A256" s="437"/>
      <c r="O256" s="437"/>
    </row>
    <row r="257" spans="1:15" x14ac:dyDescent="0.25">
      <c r="A257" s="437"/>
      <c r="O257" s="437"/>
    </row>
    <row r="258" spans="1:15" x14ac:dyDescent="0.25">
      <c r="A258" s="437"/>
      <c r="O258" s="437"/>
    </row>
    <row r="259" spans="1:15" x14ac:dyDescent="0.25">
      <c r="A259" s="437"/>
      <c r="O259" s="437"/>
    </row>
    <row r="260" spans="1:15" x14ac:dyDescent="0.25">
      <c r="A260" s="437"/>
      <c r="O260" s="437"/>
    </row>
    <row r="261" spans="1:15" x14ac:dyDescent="0.25">
      <c r="A261" s="437"/>
      <c r="O261" s="437"/>
    </row>
    <row r="262" spans="1:15" x14ac:dyDescent="0.25">
      <c r="A262" s="437"/>
      <c r="O262" s="437"/>
    </row>
    <row r="263" spans="1:15" x14ac:dyDescent="0.25">
      <c r="A263" s="437"/>
      <c r="O263" s="437"/>
    </row>
    <row r="264" spans="1:15" x14ac:dyDescent="0.25">
      <c r="A264" s="437"/>
      <c r="O264" s="437"/>
    </row>
    <row r="265" spans="1:15" x14ac:dyDescent="0.25">
      <c r="A265" s="437"/>
      <c r="O265" s="437"/>
    </row>
    <row r="266" spans="1:15" x14ac:dyDescent="0.25">
      <c r="A266" s="437"/>
      <c r="O266" s="437"/>
    </row>
    <row r="267" spans="1:15" x14ac:dyDescent="0.25">
      <c r="A267" s="437"/>
      <c r="O267" s="437"/>
    </row>
    <row r="268" spans="1:15" x14ac:dyDescent="0.25">
      <c r="A268" s="437"/>
      <c r="O268" s="437"/>
    </row>
    <row r="269" spans="1:15" x14ac:dyDescent="0.25">
      <c r="A269" s="437"/>
      <c r="O269" s="437"/>
    </row>
    <row r="270" spans="1:15" x14ac:dyDescent="0.25">
      <c r="A270" s="437"/>
      <c r="O270" s="437"/>
    </row>
    <row r="271" spans="1:15" x14ac:dyDescent="0.25">
      <c r="A271" s="437"/>
      <c r="O271" s="437"/>
    </row>
    <row r="272" spans="1:15" x14ac:dyDescent="0.25">
      <c r="A272" s="437"/>
      <c r="O272" s="437"/>
    </row>
    <row r="273" spans="1:15" x14ac:dyDescent="0.25">
      <c r="A273" s="437"/>
      <c r="O273" s="437"/>
    </row>
    <row r="274" spans="1:15" x14ac:dyDescent="0.25">
      <c r="A274" s="437"/>
      <c r="O274" s="437"/>
    </row>
    <row r="275" spans="1:15" x14ac:dyDescent="0.25">
      <c r="A275" s="437"/>
      <c r="O275" s="437"/>
    </row>
    <row r="276" spans="1:15" x14ac:dyDescent="0.25">
      <c r="A276" s="437"/>
      <c r="O276" s="437"/>
    </row>
    <row r="277" spans="1:15" x14ac:dyDescent="0.25">
      <c r="A277" s="437"/>
      <c r="O277" s="437"/>
    </row>
    <row r="278" spans="1:15" x14ac:dyDescent="0.25">
      <c r="A278" s="437"/>
      <c r="O278" s="437"/>
    </row>
    <row r="279" spans="1:15" x14ac:dyDescent="0.25">
      <c r="A279" s="437"/>
      <c r="O279" s="437"/>
    </row>
    <row r="280" spans="1:15" x14ac:dyDescent="0.25">
      <c r="A280" s="437"/>
      <c r="O280" s="437"/>
    </row>
    <row r="281" spans="1:15" x14ac:dyDescent="0.25">
      <c r="A281" s="437"/>
      <c r="O281" s="437"/>
    </row>
    <row r="282" spans="1:15" x14ac:dyDescent="0.25">
      <c r="A282" s="437"/>
      <c r="O282" s="437"/>
    </row>
    <row r="283" spans="1:15" x14ac:dyDescent="0.25">
      <c r="A283" s="437"/>
      <c r="O283" s="437"/>
    </row>
    <row r="284" spans="1:15" x14ac:dyDescent="0.25">
      <c r="A284" s="437"/>
      <c r="O284" s="437"/>
    </row>
    <row r="285" spans="1:15" x14ac:dyDescent="0.25">
      <c r="A285" s="437"/>
      <c r="O285" s="437"/>
    </row>
    <row r="286" spans="1:15" x14ac:dyDescent="0.25">
      <c r="A286" s="437"/>
      <c r="O286" s="437"/>
    </row>
    <row r="287" spans="1:15" x14ac:dyDescent="0.25">
      <c r="A287" s="437"/>
      <c r="O287" s="437"/>
    </row>
    <row r="288" spans="1:15" x14ac:dyDescent="0.25">
      <c r="A288" s="437"/>
      <c r="O288" s="437"/>
    </row>
    <row r="289" spans="1:15" x14ac:dyDescent="0.25">
      <c r="A289" s="437"/>
      <c r="O289" s="437"/>
    </row>
    <row r="290" spans="1:15" x14ac:dyDescent="0.25">
      <c r="A290" s="437"/>
      <c r="O290" s="437"/>
    </row>
    <row r="291" spans="1:15" x14ac:dyDescent="0.25">
      <c r="A291" s="437"/>
      <c r="O291" s="437"/>
    </row>
    <row r="292" spans="1:15" x14ac:dyDescent="0.25">
      <c r="A292" s="437"/>
      <c r="O292" s="437"/>
    </row>
    <row r="293" spans="1:15" x14ac:dyDescent="0.25">
      <c r="A293" s="437"/>
      <c r="O293" s="437"/>
    </row>
    <row r="294" spans="1:15" x14ac:dyDescent="0.25">
      <c r="A294" s="437"/>
      <c r="O294" s="437"/>
    </row>
    <row r="295" spans="1:15" x14ac:dyDescent="0.25">
      <c r="A295" s="437"/>
      <c r="O295" s="437"/>
    </row>
    <row r="296" spans="1:15" x14ac:dyDescent="0.25">
      <c r="A296" s="437"/>
      <c r="O296" s="437"/>
    </row>
    <row r="297" spans="1:15" x14ac:dyDescent="0.25">
      <c r="A297" s="437"/>
      <c r="O297" s="437"/>
    </row>
    <row r="298" spans="1:15" x14ac:dyDescent="0.25">
      <c r="A298" s="437"/>
      <c r="O298" s="437"/>
    </row>
    <row r="299" spans="1:15" x14ac:dyDescent="0.25">
      <c r="A299" s="437"/>
      <c r="O299" s="437"/>
    </row>
    <row r="300" spans="1:15" x14ac:dyDescent="0.25">
      <c r="A300" s="437"/>
      <c r="O300" s="437"/>
    </row>
    <row r="301" spans="1:15" x14ac:dyDescent="0.25">
      <c r="A301" s="437"/>
      <c r="O301" s="437"/>
    </row>
    <row r="302" spans="1:15" x14ac:dyDescent="0.25">
      <c r="A302" s="437"/>
      <c r="O302" s="437"/>
    </row>
    <row r="303" spans="1:15" x14ac:dyDescent="0.25">
      <c r="A303" s="437"/>
      <c r="O303" s="437"/>
    </row>
    <row r="304" spans="1:15" x14ac:dyDescent="0.25">
      <c r="A304" s="437"/>
      <c r="O304" s="437"/>
    </row>
    <row r="305" spans="1:15" x14ac:dyDescent="0.25">
      <c r="A305" s="437"/>
      <c r="O305" s="437"/>
    </row>
    <row r="306" spans="1:15" x14ac:dyDescent="0.25">
      <c r="A306" s="437"/>
      <c r="O306" s="437"/>
    </row>
    <row r="307" spans="1:15" x14ac:dyDescent="0.25">
      <c r="A307" s="437"/>
      <c r="O307" s="437"/>
    </row>
    <row r="308" spans="1:15" x14ac:dyDescent="0.25">
      <c r="A308" s="437"/>
      <c r="O308" s="437"/>
    </row>
    <row r="309" spans="1:15" x14ac:dyDescent="0.25">
      <c r="A309" s="437"/>
      <c r="O309" s="437"/>
    </row>
    <row r="310" spans="1:15" x14ac:dyDescent="0.25">
      <c r="A310" s="437"/>
      <c r="O310" s="437"/>
    </row>
    <row r="311" spans="1:15" x14ac:dyDescent="0.25">
      <c r="A311" s="437"/>
      <c r="O311" s="437"/>
    </row>
    <row r="312" spans="1:15" x14ac:dyDescent="0.25">
      <c r="A312" s="437"/>
      <c r="O312" s="437"/>
    </row>
    <row r="313" spans="1:15" x14ac:dyDescent="0.25">
      <c r="A313" s="437"/>
      <c r="O313" s="437"/>
    </row>
    <row r="314" spans="1:15" x14ac:dyDescent="0.25">
      <c r="A314" s="437"/>
      <c r="O314" s="437"/>
    </row>
    <row r="315" spans="1:15" x14ac:dyDescent="0.25">
      <c r="A315" s="437"/>
      <c r="O315" s="437"/>
    </row>
    <row r="316" spans="1:15" x14ac:dyDescent="0.25">
      <c r="A316" s="437"/>
      <c r="O316" s="437"/>
    </row>
    <row r="317" spans="1:15" x14ac:dyDescent="0.25">
      <c r="A317" s="437"/>
      <c r="O317" s="437"/>
    </row>
    <row r="318" spans="1:15" x14ac:dyDescent="0.25">
      <c r="A318" s="437"/>
      <c r="O318" s="437"/>
    </row>
    <row r="319" spans="1:15" x14ac:dyDescent="0.25">
      <c r="A319" s="437"/>
      <c r="O319" s="437"/>
    </row>
    <row r="320" spans="1:15" x14ac:dyDescent="0.25">
      <c r="A320" s="437"/>
      <c r="O320" s="437"/>
    </row>
    <row r="321" spans="1:15" x14ac:dyDescent="0.25">
      <c r="A321" s="437"/>
      <c r="O321" s="437"/>
    </row>
    <row r="322" spans="1:15" x14ac:dyDescent="0.25">
      <c r="A322" s="437"/>
      <c r="O322" s="437"/>
    </row>
    <row r="323" spans="1:15" x14ac:dyDescent="0.25">
      <c r="A323" s="437"/>
      <c r="O323" s="437"/>
    </row>
    <row r="324" spans="1:15" x14ac:dyDescent="0.25">
      <c r="A324" s="437"/>
      <c r="O324" s="437"/>
    </row>
    <row r="325" spans="1:15" x14ac:dyDescent="0.25">
      <c r="A325" s="437"/>
      <c r="O325" s="437"/>
    </row>
    <row r="326" spans="1:15" x14ac:dyDescent="0.25">
      <c r="A326" s="437"/>
      <c r="O326" s="437"/>
    </row>
    <row r="327" spans="1:15" x14ac:dyDescent="0.25">
      <c r="A327" s="437"/>
      <c r="O327" s="437"/>
    </row>
    <row r="328" spans="1:15" x14ac:dyDescent="0.25">
      <c r="A328" s="437"/>
      <c r="O328" s="437"/>
    </row>
    <row r="329" spans="1:15" x14ac:dyDescent="0.25">
      <c r="A329" s="437"/>
      <c r="O329" s="437"/>
    </row>
    <row r="330" spans="1:15" x14ac:dyDescent="0.25">
      <c r="A330" s="437"/>
      <c r="O330" s="437"/>
    </row>
    <row r="331" spans="1:15" x14ac:dyDescent="0.25">
      <c r="A331" s="437"/>
      <c r="O331" s="437"/>
    </row>
    <row r="332" spans="1:15" x14ac:dyDescent="0.25">
      <c r="A332" s="437"/>
      <c r="O332" s="437"/>
    </row>
    <row r="333" spans="1:15" x14ac:dyDescent="0.25">
      <c r="A333" s="437"/>
      <c r="O333" s="437"/>
    </row>
    <row r="334" spans="1:15" x14ac:dyDescent="0.25">
      <c r="A334" s="437"/>
      <c r="O334" s="437"/>
    </row>
    <row r="335" spans="1:15" x14ac:dyDescent="0.25">
      <c r="A335" s="437"/>
      <c r="O335" s="437"/>
    </row>
    <row r="336" spans="1:15" x14ac:dyDescent="0.25">
      <c r="A336" s="437"/>
      <c r="O336" s="437"/>
    </row>
    <row r="337" spans="1:15" x14ac:dyDescent="0.25">
      <c r="A337" s="437"/>
      <c r="O337" s="437"/>
    </row>
    <row r="338" spans="1:15" x14ac:dyDescent="0.25">
      <c r="A338" s="437"/>
      <c r="O338" s="437"/>
    </row>
    <row r="339" spans="1:15" x14ac:dyDescent="0.25">
      <c r="A339" s="437"/>
      <c r="O339" s="437"/>
    </row>
    <row r="340" spans="1:15" x14ac:dyDescent="0.25">
      <c r="A340" s="437"/>
      <c r="O340" s="437"/>
    </row>
    <row r="341" spans="1:15" x14ac:dyDescent="0.25">
      <c r="A341" s="437"/>
      <c r="O341" s="437"/>
    </row>
    <row r="342" spans="1:15" x14ac:dyDescent="0.25">
      <c r="A342" s="437"/>
      <c r="O342" s="437"/>
    </row>
    <row r="343" spans="1:15" x14ac:dyDescent="0.25">
      <c r="A343" s="437"/>
      <c r="O343" s="437"/>
    </row>
    <row r="344" spans="1:15" x14ac:dyDescent="0.25">
      <c r="A344" s="437"/>
      <c r="O344" s="437"/>
    </row>
    <row r="345" spans="1:15" x14ac:dyDescent="0.25">
      <c r="A345" s="437"/>
      <c r="O345" s="437"/>
    </row>
    <row r="346" spans="1:15" x14ac:dyDescent="0.25">
      <c r="A346" s="437"/>
      <c r="O346" s="437"/>
    </row>
    <row r="347" spans="1:15" x14ac:dyDescent="0.25">
      <c r="A347" s="437"/>
      <c r="O347" s="437"/>
    </row>
    <row r="348" spans="1:15" x14ac:dyDescent="0.25">
      <c r="A348" s="437"/>
      <c r="O348" s="437"/>
    </row>
    <row r="349" spans="1:15" x14ac:dyDescent="0.25">
      <c r="A349" s="437"/>
      <c r="O349" s="437"/>
    </row>
    <row r="350" spans="1:15" x14ac:dyDescent="0.25">
      <c r="A350" s="437"/>
      <c r="O350" s="437"/>
    </row>
    <row r="351" spans="1:15" x14ac:dyDescent="0.25">
      <c r="A351" s="437"/>
      <c r="O351" s="437"/>
    </row>
    <row r="352" spans="1:15" x14ac:dyDescent="0.25">
      <c r="A352" s="437"/>
      <c r="O352" s="437"/>
    </row>
    <row r="353" spans="1:15" x14ac:dyDescent="0.25">
      <c r="A353" s="437"/>
      <c r="O353" s="437"/>
    </row>
    <row r="354" spans="1:15" x14ac:dyDescent="0.25">
      <c r="A354" s="437"/>
      <c r="O354" s="437"/>
    </row>
    <row r="355" spans="1:15" x14ac:dyDescent="0.25">
      <c r="A355" s="437"/>
      <c r="O355" s="437"/>
    </row>
    <row r="356" spans="1:15" x14ac:dyDescent="0.25">
      <c r="A356" s="437"/>
      <c r="O356" s="437"/>
    </row>
    <row r="357" spans="1:15" x14ac:dyDescent="0.25">
      <c r="A357" s="437"/>
      <c r="O357" s="437"/>
    </row>
    <row r="358" spans="1:15" x14ac:dyDescent="0.25">
      <c r="A358" s="437"/>
      <c r="O358" s="437"/>
    </row>
    <row r="359" spans="1:15" x14ac:dyDescent="0.25">
      <c r="A359" s="437"/>
      <c r="O359" s="437"/>
    </row>
    <row r="360" spans="1:15" x14ac:dyDescent="0.25">
      <c r="A360" s="437"/>
      <c r="O360" s="437"/>
    </row>
    <row r="361" spans="1:15" x14ac:dyDescent="0.25">
      <c r="A361" s="437"/>
      <c r="O361" s="437"/>
    </row>
    <row r="362" spans="1:15" x14ac:dyDescent="0.25">
      <c r="A362" s="437"/>
      <c r="O362" s="437"/>
    </row>
    <row r="363" spans="1:15" x14ac:dyDescent="0.25">
      <c r="A363" s="437"/>
      <c r="O363" s="437"/>
    </row>
    <row r="364" spans="1:15" x14ac:dyDescent="0.25">
      <c r="A364" s="437"/>
      <c r="O364" s="437"/>
    </row>
    <row r="365" spans="1:15" x14ac:dyDescent="0.25">
      <c r="A365" s="437"/>
      <c r="O365" s="437"/>
    </row>
    <row r="366" spans="1:15" x14ac:dyDescent="0.25">
      <c r="A366" s="437"/>
      <c r="O366" s="437"/>
    </row>
    <row r="367" spans="1:15" x14ac:dyDescent="0.25">
      <c r="A367" s="437"/>
      <c r="O367" s="437"/>
    </row>
    <row r="368" spans="1:15" x14ac:dyDescent="0.25">
      <c r="A368" s="437"/>
      <c r="O368" s="437"/>
    </row>
    <row r="369" spans="1:15" x14ac:dyDescent="0.25">
      <c r="A369" s="437"/>
      <c r="O369" s="437"/>
    </row>
    <row r="370" spans="1:15" x14ac:dyDescent="0.25">
      <c r="A370" s="437"/>
      <c r="O370" s="437"/>
    </row>
    <row r="371" spans="1:15" x14ac:dyDescent="0.25">
      <c r="A371" s="437"/>
      <c r="O371" s="437"/>
    </row>
    <row r="372" spans="1:15" x14ac:dyDescent="0.25">
      <c r="A372" s="437"/>
      <c r="O372" s="437"/>
    </row>
    <row r="373" spans="1:15" x14ac:dyDescent="0.25">
      <c r="A373" s="437"/>
      <c r="O373" s="437"/>
    </row>
    <row r="374" spans="1:15" x14ac:dyDescent="0.25">
      <c r="A374" s="437"/>
      <c r="O374" s="437"/>
    </row>
    <row r="375" spans="1:15" x14ac:dyDescent="0.25">
      <c r="A375" s="437"/>
      <c r="O375" s="437"/>
    </row>
    <row r="376" spans="1:15" x14ac:dyDescent="0.25">
      <c r="A376" s="437"/>
      <c r="O376" s="437"/>
    </row>
    <row r="377" spans="1:15" x14ac:dyDescent="0.25">
      <c r="A377" s="437"/>
      <c r="O377" s="437"/>
    </row>
    <row r="378" spans="1:15" x14ac:dyDescent="0.25">
      <c r="A378" s="437"/>
      <c r="O378" s="437"/>
    </row>
    <row r="379" spans="1:15" x14ac:dyDescent="0.25">
      <c r="A379" s="437"/>
      <c r="O379" s="437"/>
    </row>
    <row r="380" spans="1:15" x14ac:dyDescent="0.25">
      <c r="A380" s="437"/>
      <c r="O380" s="437"/>
    </row>
    <row r="381" spans="1:15" x14ac:dyDescent="0.25">
      <c r="A381" s="437"/>
      <c r="O381" s="437"/>
    </row>
    <row r="382" spans="1:15" x14ac:dyDescent="0.25">
      <c r="A382" s="437"/>
      <c r="O382" s="437"/>
    </row>
    <row r="383" spans="1:15" x14ac:dyDescent="0.25">
      <c r="A383" s="437"/>
      <c r="O383" s="437"/>
    </row>
    <row r="384" spans="1:15" x14ac:dyDescent="0.25">
      <c r="A384" s="437"/>
      <c r="O384" s="437"/>
    </row>
    <row r="385" spans="1:15" x14ac:dyDescent="0.25">
      <c r="A385" s="437"/>
      <c r="O385" s="437"/>
    </row>
    <row r="386" spans="1:15" x14ac:dyDescent="0.25">
      <c r="A386" s="437"/>
      <c r="O386" s="437"/>
    </row>
    <row r="387" spans="1:15" x14ac:dyDescent="0.25">
      <c r="A387" s="437"/>
      <c r="O387" s="437"/>
    </row>
    <row r="388" spans="1:15" x14ac:dyDescent="0.25">
      <c r="A388" s="437"/>
      <c r="O388" s="437"/>
    </row>
    <row r="389" spans="1:15" x14ac:dyDescent="0.25">
      <c r="A389" s="437"/>
      <c r="O389" s="437"/>
    </row>
    <row r="390" spans="1:15" x14ac:dyDescent="0.25">
      <c r="A390" s="437"/>
      <c r="O390" s="437"/>
    </row>
    <row r="391" spans="1:15" x14ac:dyDescent="0.25">
      <c r="A391" s="437"/>
      <c r="O391" s="437"/>
    </row>
    <row r="392" spans="1:15" x14ac:dyDescent="0.25">
      <c r="A392" s="437"/>
      <c r="O392" s="437"/>
    </row>
    <row r="393" spans="1:15" x14ac:dyDescent="0.25">
      <c r="A393" s="437"/>
      <c r="O393" s="437"/>
    </row>
    <row r="394" spans="1:15" x14ac:dyDescent="0.25">
      <c r="A394" s="437"/>
      <c r="O394" s="437"/>
    </row>
    <row r="395" spans="1:15" x14ac:dyDescent="0.25">
      <c r="A395" s="437"/>
      <c r="O395" s="437"/>
    </row>
    <row r="396" spans="1:15" x14ac:dyDescent="0.25">
      <c r="A396" s="437"/>
      <c r="O396" s="437"/>
    </row>
    <row r="397" spans="1:15" x14ac:dyDescent="0.25">
      <c r="A397" s="437"/>
      <c r="O397" s="437"/>
    </row>
    <row r="398" spans="1:15" x14ac:dyDescent="0.25">
      <c r="A398" s="437"/>
      <c r="O398" s="437"/>
    </row>
    <row r="399" spans="1:15" x14ac:dyDescent="0.25">
      <c r="A399" s="437"/>
      <c r="O399" s="437"/>
    </row>
    <row r="400" spans="1:15" x14ac:dyDescent="0.25">
      <c r="A400" s="437"/>
      <c r="O400" s="437"/>
    </row>
    <row r="401" spans="1:15" x14ac:dyDescent="0.25">
      <c r="A401" s="437"/>
      <c r="O401" s="437"/>
    </row>
    <row r="402" spans="1:15" x14ac:dyDescent="0.25">
      <c r="A402" s="437"/>
      <c r="O402" s="437"/>
    </row>
    <row r="403" spans="1:15" x14ac:dyDescent="0.25">
      <c r="A403" s="437"/>
      <c r="O403" s="437"/>
    </row>
    <row r="404" spans="1:15" x14ac:dyDescent="0.25">
      <c r="A404" s="437"/>
      <c r="O404" s="437"/>
    </row>
    <row r="405" spans="1:15" x14ac:dyDescent="0.25">
      <c r="A405" s="437"/>
      <c r="O405" s="437"/>
    </row>
    <row r="406" spans="1:15" x14ac:dyDescent="0.25">
      <c r="A406" s="437"/>
      <c r="O406" s="437"/>
    </row>
    <row r="407" spans="1:15" x14ac:dyDescent="0.25">
      <c r="A407" s="437"/>
      <c r="O407" s="437"/>
    </row>
    <row r="408" spans="1:15" x14ac:dyDescent="0.25">
      <c r="A408" s="437"/>
      <c r="O408" s="437"/>
    </row>
    <row r="409" spans="1:15" x14ac:dyDescent="0.25">
      <c r="A409" s="437"/>
      <c r="O409" s="437"/>
    </row>
    <row r="410" spans="1:15" x14ac:dyDescent="0.25">
      <c r="A410" s="437"/>
      <c r="O410" s="437"/>
    </row>
    <row r="411" spans="1:15" x14ac:dyDescent="0.25">
      <c r="A411" s="437"/>
      <c r="O411" s="437"/>
    </row>
    <row r="412" spans="1:15" x14ac:dyDescent="0.25">
      <c r="A412" s="437"/>
      <c r="O412" s="437"/>
    </row>
    <row r="413" spans="1:15" x14ac:dyDescent="0.25">
      <c r="A413" s="437"/>
      <c r="O413" s="437"/>
    </row>
    <row r="414" spans="1:15" x14ac:dyDescent="0.25">
      <c r="A414" s="437"/>
      <c r="O414" s="437"/>
    </row>
    <row r="415" spans="1:15" x14ac:dyDescent="0.25">
      <c r="A415" s="437"/>
      <c r="O415" s="437"/>
    </row>
    <row r="416" spans="1:15" x14ac:dyDescent="0.25">
      <c r="A416" s="437"/>
      <c r="O416" s="437"/>
    </row>
    <row r="417" spans="1:15" x14ac:dyDescent="0.25">
      <c r="A417" s="437"/>
      <c r="O417" s="437"/>
    </row>
    <row r="418" spans="1:15" x14ac:dyDescent="0.25">
      <c r="A418" s="437"/>
      <c r="O418" s="437"/>
    </row>
    <row r="419" spans="1:15" x14ac:dyDescent="0.25">
      <c r="A419" s="437"/>
      <c r="O419" s="437"/>
    </row>
    <row r="420" spans="1:15" x14ac:dyDescent="0.25">
      <c r="A420" s="437"/>
      <c r="O420" s="437"/>
    </row>
    <row r="421" spans="1:15" x14ac:dyDescent="0.25">
      <c r="A421" s="437"/>
      <c r="O421" s="437"/>
    </row>
    <row r="422" spans="1:15" x14ac:dyDescent="0.25">
      <c r="A422" s="437"/>
      <c r="O422" s="437"/>
    </row>
    <row r="423" spans="1:15" x14ac:dyDescent="0.25">
      <c r="A423" s="437"/>
      <c r="O423" s="437"/>
    </row>
    <row r="424" spans="1:15" x14ac:dyDescent="0.25">
      <c r="A424" s="437"/>
      <c r="O424" s="437"/>
    </row>
    <row r="425" spans="1:15" x14ac:dyDescent="0.25">
      <c r="A425" s="437"/>
      <c r="O425" s="437"/>
    </row>
    <row r="426" spans="1:15" x14ac:dyDescent="0.25">
      <c r="A426" s="437"/>
      <c r="O426" s="437"/>
    </row>
    <row r="427" spans="1:15" x14ac:dyDescent="0.25">
      <c r="A427" s="437"/>
      <c r="O427" s="437"/>
    </row>
    <row r="428" spans="1:15" x14ac:dyDescent="0.25">
      <c r="A428" s="437"/>
      <c r="O428" s="437"/>
    </row>
    <row r="429" spans="1:15" x14ac:dyDescent="0.25">
      <c r="A429" s="437"/>
      <c r="O429" s="437"/>
    </row>
    <row r="430" spans="1:15" x14ac:dyDescent="0.25">
      <c r="A430" s="437"/>
      <c r="O430" s="437"/>
    </row>
    <row r="431" spans="1:15" x14ac:dyDescent="0.25">
      <c r="A431" s="437"/>
      <c r="O431" s="437"/>
    </row>
    <row r="432" spans="1:15" x14ac:dyDescent="0.25">
      <c r="A432" s="437"/>
      <c r="O432" s="437"/>
    </row>
    <row r="433" spans="1:15" x14ac:dyDescent="0.25">
      <c r="A433" s="437"/>
      <c r="O433" s="437"/>
    </row>
    <row r="434" spans="1:15" x14ac:dyDescent="0.25">
      <c r="A434" s="437"/>
      <c r="O434" s="437"/>
    </row>
    <row r="435" spans="1:15" x14ac:dyDescent="0.25">
      <c r="A435" s="437"/>
      <c r="O435" s="437"/>
    </row>
    <row r="436" spans="1:15" x14ac:dyDescent="0.25">
      <c r="A436" s="437"/>
      <c r="O436" s="437"/>
    </row>
    <row r="437" spans="1:15" x14ac:dyDescent="0.25">
      <c r="A437" s="437"/>
      <c r="O437" s="437"/>
    </row>
    <row r="438" spans="1:15" x14ac:dyDescent="0.25">
      <c r="A438" s="437"/>
      <c r="O438" s="437"/>
    </row>
    <row r="439" spans="1:15" x14ac:dyDescent="0.25">
      <c r="A439" s="437"/>
      <c r="O439" s="437"/>
    </row>
    <row r="440" spans="1:15" x14ac:dyDescent="0.25">
      <c r="A440" s="437"/>
      <c r="O440" s="437"/>
    </row>
    <row r="441" spans="1:15" x14ac:dyDescent="0.25">
      <c r="A441" s="437"/>
      <c r="O441" s="437"/>
    </row>
    <row r="442" spans="1:15" x14ac:dyDescent="0.25">
      <c r="A442" s="437"/>
      <c r="O442" s="437"/>
    </row>
    <row r="443" spans="1:15" x14ac:dyDescent="0.25">
      <c r="A443" s="437"/>
      <c r="O443" s="437"/>
    </row>
    <row r="444" spans="1:15" x14ac:dyDescent="0.25">
      <c r="A444" s="437"/>
      <c r="O444" s="437"/>
    </row>
    <row r="445" spans="1:15" x14ac:dyDescent="0.25">
      <c r="A445" s="437"/>
      <c r="O445" s="437"/>
    </row>
    <row r="446" spans="1:15" x14ac:dyDescent="0.25">
      <c r="A446" s="437"/>
      <c r="O446" s="437"/>
    </row>
    <row r="447" spans="1:15" x14ac:dyDescent="0.25">
      <c r="A447" s="437"/>
      <c r="O447" s="437"/>
    </row>
    <row r="448" spans="1:15" x14ac:dyDescent="0.25">
      <c r="A448" s="437"/>
      <c r="O448" s="437"/>
    </row>
    <row r="449" spans="1:15" x14ac:dyDescent="0.25">
      <c r="A449" s="437"/>
      <c r="O449" s="437"/>
    </row>
    <row r="450" spans="1:15" x14ac:dyDescent="0.25">
      <c r="A450" s="437"/>
      <c r="O450" s="437"/>
    </row>
    <row r="451" spans="1:15" x14ac:dyDescent="0.25">
      <c r="A451" s="437"/>
      <c r="O451" s="437"/>
    </row>
    <row r="452" spans="1:15" x14ac:dyDescent="0.25">
      <c r="A452" s="437"/>
      <c r="O452" s="437"/>
    </row>
    <row r="453" spans="1:15" x14ac:dyDescent="0.25">
      <c r="A453" s="437"/>
      <c r="O453" s="437"/>
    </row>
    <row r="454" spans="1:15" x14ac:dyDescent="0.25">
      <c r="A454" s="437"/>
      <c r="O454" s="437"/>
    </row>
    <row r="455" spans="1:15" x14ac:dyDescent="0.25">
      <c r="A455" s="437"/>
      <c r="O455" s="437"/>
    </row>
    <row r="456" spans="1:15" x14ac:dyDescent="0.25">
      <c r="A456" s="437"/>
      <c r="O456" s="437"/>
    </row>
    <row r="457" spans="1:15" x14ac:dyDescent="0.25">
      <c r="A457" s="437"/>
      <c r="O457" s="437"/>
    </row>
    <row r="458" spans="1:15" x14ac:dyDescent="0.25">
      <c r="A458" s="437"/>
      <c r="O458" s="437"/>
    </row>
    <row r="459" spans="1:15" x14ac:dyDescent="0.25">
      <c r="A459" s="437"/>
      <c r="O459" s="437"/>
    </row>
    <row r="460" spans="1:15" x14ac:dyDescent="0.25">
      <c r="A460" s="437"/>
      <c r="O460" s="437"/>
    </row>
    <row r="461" spans="1:15" x14ac:dyDescent="0.25">
      <c r="A461" s="437"/>
      <c r="O461" s="437"/>
    </row>
    <row r="462" spans="1:15" x14ac:dyDescent="0.25">
      <c r="A462" s="437"/>
      <c r="O462" s="437"/>
    </row>
    <row r="463" spans="1:15" x14ac:dyDescent="0.25">
      <c r="A463" s="437"/>
      <c r="O463" s="437"/>
    </row>
    <row r="464" spans="1:15" x14ac:dyDescent="0.25">
      <c r="A464" s="437"/>
      <c r="O464" s="437"/>
    </row>
    <row r="465" spans="1:15" x14ac:dyDescent="0.25">
      <c r="A465" s="437"/>
      <c r="O465" s="437"/>
    </row>
    <row r="466" spans="1:15" x14ac:dyDescent="0.25">
      <c r="A466" s="437"/>
      <c r="O466" s="437"/>
    </row>
    <row r="467" spans="1:15" x14ac:dyDescent="0.25">
      <c r="A467" s="437"/>
      <c r="O467" s="437"/>
    </row>
    <row r="468" spans="1:15" x14ac:dyDescent="0.25">
      <c r="A468" s="437"/>
      <c r="O468" s="437"/>
    </row>
    <row r="469" spans="1:15" x14ac:dyDescent="0.25">
      <c r="A469" s="437"/>
      <c r="O469" s="437"/>
    </row>
    <row r="470" spans="1:15" x14ac:dyDescent="0.25">
      <c r="A470" s="437"/>
      <c r="O470" s="437"/>
    </row>
    <row r="471" spans="1:15" x14ac:dyDescent="0.25">
      <c r="A471" s="437"/>
      <c r="O471" s="437"/>
    </row>
    <row r="472" spans="1:15" x14ac:dyDescent="0.25">
      <c r="A472" s="437"/>
      <c r="O472" s="437"/>
    </row>
    <row r="473" spans="1:15" x14ac:dyDescent="0.25">
      <c r="A473" s="437"/>
      <c r="O473" s="437"/>
    </row>
    <row r="474" spans="1:15" x14ac:dyDescent="0.25">
      <c r="A474" s="437"/>
      <c r="O474" s="437"/>
    </row>
    <row r="475" spans="1:15" x14ac:dyDescent="0.25">
      <c r="A475" s="437"/>
      <c r="O475" s="437"/>
    </row>
    <row r="476" spans="1:15" x14ac:dyDescent="0.25">
      <c r="A476" s="437"/>
      <c r="O476" s="437"/>
    </row>
    <row r="477" spans="1:15" x14ac:dyDescent="0.25">
      <c r="A477" s="437"/>
      <c r="O477" s="437"/>
    </row>
    <row r="478" spans="1:15" x14ac:dyDescent="0.25">
      <c r="A478" s="437"/>
      <c r="O478" s="437"/>
    </row>
    <row r="479" spans="1:15" x14ac:dyDescent="0.25">
      <c r="A479" s="437"/>
      <c r="O479" s="437"/>
    </row>
    <row r="480" spans="1:15" x14ac:dyDescent="0.25">
      <c r="A480" s="437"/>
      <c r="O480" s="437"/>
    </row>
    <row r="481" spans="1:15" x14ac:dyDescent="0.25">
      <c r="A481" s="437"/>
      <c r="O481" s="437"/>
    </row>
    <row r="482" spans="1:15" x14ac:dyDescent="0.25">
      <c r="A482" s="437"/>
      <c r="O482" s="437"/>
    </row>
    <row r="483" spans="1:15" x14ac:dyDescent="0.25">
      <c r="A483" s="437"/>
      <c r="O483" s="437"/>
    </row>
    <row r="484" spans="1:15" x14ac:dyDescent="0.25">
      <c r="A484" s="437"/>
      <c r="O484" s="437"/>
    </row>
    <row r="485" spans="1:15" x14ac:dyDescent="0.25">
      <c r="A485" s="437"/>
      <c r="O485" s="437"/>
    </row>
    <row r="486" spans="1:15" x14ac:dyDescent="0.25">
      <c r="A486" s="437"/>
      <c r="O486" s="437"/>
    </row>
    <row r="487" spans="1:15" x14ac:dyDescent="0.25">
      <c r="A487" s="437"/>
      <c r="O487" s="437"/>
    </row>
    <row r="488" spans="1:15" x14ac:dyDescent="0.25">
      <c r="A488" s="437"/>
      <c r="O488" s="437"/>
    </row>
    <row r="489" spans="1:15" x14ac:dyDescent="0.25">
      <c r="A489" s="437"/>
      <c r="O489" s="437"/>
    </row>
    <row r="490" spans="1:15" x14ac:dyDescent="0.25">
      <c r="A490" s="437"/>
      <c r="O490" s="437"/>
    </row>
    <row r="491" spans="1:15" x14ac:dyDescent="0.25">
      <c r="A491" s="437"/>
      <c r="O491" s="437"/>
    </row>
    <row r="492" spans="1:15" x14ac:dyDescent="0.25">
      <c r="A492" s="437"/>
      <c r="O492" s="437"/>
    </row>
    <row r="493" spans="1:15" x14ac:dyDescent="0.25">
      <c r="A493" s="437"/>
      <c r="O493" s="437"/>
    </row>
    <row r="494" spans="1:15" x14ac:dyDescent="0.25">
      <c r="A494" s="437"/>
      <c r="O494" s="437"/>
    </row>
    <row r="495" spans="1:15" x14ac:dyDescent="0.25">
      <c r="A495" s="437"/>
      <c r="O495" s="437"/>
    </row>
    <row r="496" spans="1:15" x14ac:dyDescent="0.25">
      <c r="A496" s="437"/>
      <c r="O496" s="437"/>
    </row>
    <row r="497" spans="1:15" x14ac:dyDescent="0.25">
      <c r="A497" s="437"/>
      <c r="O497" s="437"/>
    </row>
    <row r="498" spans="1:15" x14ac:dyDescent="0.25">
      <c r="A498" s="437"/>
      <c r="O498" s="437"/>
    </row>
    <row r="499" spans="1:15" x14ac:dyDescent="0.25">
      <c r="A499" s="437"/>
      <c r="O499" s="437"/>
    </row>
    <row r="500" spans="1:15" x14ac:dyDescent="0.25">
      <c r="A500" s="437"/>
      <c r="O500" s="437"/>
    </row>
    <row r="501" spans="1:15" x14ac:dyDescent="0.25">
      <c r="A501" s="437"/>
      <c r="O501" s="437"/>
    </row>
    <row r="502" spans="1:15" x14ac:dyDescent="0.25">
      <c r="A502" s="437"/>
      <c r="O502" s="437"/>
    </row>
    <row r="503" spans="1:15" x14ac:dyDescent="0.25">
      <c r="A503" s="437"/>
      <c r="O503" s="437"/>
    </row>
    <row r="504" spans="1:15" x14ac:dyDescent="0.25">
      <c r="A504" s="437"/>
      <c r="O504" s="437"/>
    </row>
    <row r="505" spans="1:15" x14ac:dyDescent="0.25">
      <c r="A505" s="437"/>
      <c r="O505" s="437"/>
    </row>
    <row r="506" spans="1:15" x14ac:dyDescent="0.25">
      <c r="A506" s="437"/>
      <c r="O506" s="437"/>
    </row>
    <row r="507" spans="1:15" x14ac:dyDescent="0.25">
      <c r="A507" s="437"/>
      <c r="O507" s="437"/>
    </row>
    <row r="508" spans="1:15" x14ac:dyDescent="0.25">
      <c r="A508" s="437"/>
      <c r="O508" s="437"/>
    </row>
    <row r="509" spans="1:15" x14ac:dyDescent="0.25">
      <c r="A509" s="437"/>
      <c r="O509" s="437"/>
    </row>
    <row r="510" spans="1:15" x14ac:dyDescent="0.25">
      <c r="A510" s="437"/>
      <c r="O510" s="437"/>
    </row>
    <row r="511" spans="1:15" x14ac:dyDescent="0.25">
      <c r="A511" s="437"/>
      <c r="O511" s="437"/>
    </row>
    <row r="512" spans="1:15" x14ac:dyDescent="0.25">
      <c r="A512" s="437"/>
      <c r="O512" s="437"/>
    </row>
    <row r="513" spans="1:15" x14ac:dyDescent="0.25">
      <c r="A513" s="437"/>
      <c r="O513" s="437"/>
    </row>
    <row r="514" spans="1:15" x14ac:dyDescent="0.25">
      <c r="A514" s="437"/>
      <c r="O514" s="437"/>
    </row>
    <row r="515" spans="1:15" x14ac:dyDescent="0.25">
      <c r="A515" s="437"/>
      <c r="O515" s="437"/>
    </row>
    <row r="516" spans="1:15" x14ac:dyDescent="0.25">
      <c r="A516" s="437"/>
      <c r="O516" s="437"/>
    </row>
    <row r="517" spans="1:15" x14ac:dyDescent="0.25">
      <c r="A517" s="437"/>
      <c r="O517" s="437"/>
    </row>
    <row r="518" spans="1:15" x14ac:dyDescent="0.25">
      <c r="A518" s="437"/>
      <c r="O518" s="437"/>
    </row>
    <row r="519" spans="1:15" x14ac:dyDescent="0.25">
      <c r="A519" s="437"/>
      <c r="O519" s="437"/>
    </row>
    <row r="520" spans="1:15" x14ac:dyDescent="0.25">
      <c r="A520" s="437"/>
      <c r="O520" s="437"/>
    </row>
    <row r="521" spans="1:15" x14ac:dyDescent="0.25">
      <c r="A521" s="437"/>
      <c r="O521" s="437"/>
    </row>
    <row r="522" spans="1:15" x14ac:dyDescent="0.25">
      <c r="A522" s="437"/>
      <c r="O522" s="437"/>
    </row>
    <row r="523" spans="1:15" x14ac:dyDescent="0.25">
      <c r="A523" s="437"/>
      <c r="O523" s="437"/>
    </row>
    <row r="524" spans="1:15" x14ac:dyDescent="0.25">
      <c r="A524" s="437"/>
      <c r="O524" s="437"/>
    </row>
    <row r="525" spans="1:15" x14ac:dyDescent="0.25">
      <c r="A525" s="437"/>
      <c r="O525" s="437"/>
    </row>
    <row r="526" spans="1:15" x14ac:dyDescent="0.25">
      <c r="A526" s="437"/>
      <c r="O526" s="437"/>
    </row>
    <row r="527" spans="1:15" x14ac:dyDescent="0.25">
      <c r="A527" s="437"/>
      <c r="O527" s="437"/>
    </row>
    <row r="528" spans="1:15" x14ac:dyDescent="0.25">
      <c r="A528" s="437"/>
      <c r="O528" s="437"/>
    </row>
    <row r="529" spans="1:15" x14ac:dyDescent="0.25">
      <c r="A529" s="437"/>
      <c r="O529" s="437"/>
    </row>
    <row r="530" spans="1:15" x14ac:dyDescent="0.25">
      <c r="A530" s="437"/>
      <c r="O530" s="437"/>
    </row>
    <row r="531" spans="1:15" x14ac:dyDescent="0.25">
      <c r="A531" s="437"/>
      <c r="O531" s="437"/>
    </row>
    <row r="532" spans="1:15" x14ac:dyDescent="0.25">
      <c r="A532" s="437"/>
      <c r="O532" s="437"/>
    </row>
    <row r="533" spans="1:15" x14ac:dyDescent="0.25">
      <c r="A533" s="437"/>
      <c r="O533" s="437"/>
    </row>
    <row r="534" spans="1:15" x14ac:dyDescent="0.25">
      <c r="A534" s="437"/>
      <c r="O534" s="437"/>
    </row>
    <row r="535" spans="1:15" x14ac:dyDescent="0.25">
      <c r="A535" s="437"/>
      <c r="O535" s="437"/>
    </row>
    <row r="536" spans="1:15" x14ac:dyDescent="0.25">
      <c r="A536" s="437"/>
      <c r="O536" s="437"/>
    </row>
    <row r="537" spans="1:15" x14ac:dyDescent="0.25">
      <c r="A537" s="437"/>
      <c r="O537" s="437"/>
    </row>
    <row r="538" spans="1:15" x14ac:dyDescent="0.25">
      <c r="A538" s="437"/>
      <c r="O538" s="437"/>
    </row>
    <row r="539" spans="1:15" x14ac:dyDescent="0.25">
      <c r="A539" s="437"/>
      <c r="O539" s="437"/>
    </row>
    <row r="540" spans="1:15" x14ac:dyDescent="0.25">
      <c r="A540" s="437"/>
      <c r="O540" s="437"/>
    </row>
    <row r="541" spans="1:15" x14ac:dyDescent="0.25">
      <c r="A541" s="437"/>
      <c r="O541" s="437"/>
    </row>
    <row r="542" spans="1:15" x14ac:dyDescent="0.25">
      <c r="A542" s="437"/>
      <c r="O542" s="437"/>
    </row>
    <row r="543" spans="1:15" x14ac:dyDescent="0.25">
      <c r="A543" s="437"/>
      <c r="O543" s="437"/>
    </row>
    <row r="544" spans="1:15" x14ac:dyDescent="0.25">
      <c r="A544" s="437"/>
      <c r="O544" s="437"/>
    </row>
    <row r="545" spans="1:15" x14ac:dyDescent="0.25">
      <c r="A545" s="437"/>
      <c r="O545" s="437"/>
    </row>
    <row r="546" spans="1:15" x14ac:dyDescent="0.25">
      <c r="A546" s="437"/>
      <c r="O546" s="437"/>
    </row>
    <row r="547" spans="1:15" x14ac:dyDescent="0.25">
      <c r="A547" s="437"/>
      <c r="O547" s="437"/>
    </row>
    <row r="548" spans="1:15" x14ac:dyDescent="0.25">
      <c r="A548" s="437"/>
      <c r="O548" s="437"/>
    </row>
    <row r="549" spans="1:15" x14ac:dyDescent="0.25">
      <c r="A549" s="437"/>
      <c r="O549" s="437"/>
    </row>
    <row r="550" spans="1:15" x14ac:dyDescent="0.25">
      <c r="A550" s="437"/>
      <c r="O550" s="437"/>
    </row>
    <row r="551" spans="1:15" x14ac:dyDescent="0.25">
      <c r="A551" s="437"/>
      <c r="O551" s="437"/>
    </row>
    <row r="552" spans="1:15" x14ac:dyDescent="0.25">
      <c r="A552" s="437"/>
      <c r="O552" s="437"/>
    </row>
    <row r="553" spans="1:15" x14ac:dyDescent="0.25">
      <c r="A553" s="437"/>
      <c r="O553" s="437"/>
    </row>
    <row r="554" spans="1:15" x14ac:dyDescent="0.25">
      <c r="A554" s="437"/>
      <c r="O554" s="437"/>
    </row>
    <row r="555" spans="1:15" x14ac:dyDescent="0.25">
      <c r="A555" s="437"/>
      <c r="O555" s="437"/>
    </row>
    <row r="556" spans="1:15" x14ac:dyDescent="0.25">
      <c r="A556" s="437"/>
      <c r="O556" s="437"/>
    </row>
    <row r="557" spans="1:15" x14ac:dyDescent="0.25">
      <c r="A557" s="437"/>
      <c r="O557" s="437"/>
    </row>
    <row r="558" spans="1:15" x14ac:dyDescent="0.25">
      <c r="A558" s="437"/>
      <c r="O558" s="437"/>
    </row>
    <row r="559" spans="1:15" x14ac:dyDescent="0.25">
      <c r="A559" s="437"/>
      <c r="O559" s="437"/>
    </row>
    <row r="560" spans="1:15" x14ac:dyDescent="0.25">
      <c r="A560" s="437"/>
      <c r="O560" s="437"/>
    </row>
    <row r="561" spans="1:15" x14ac:dyDescent="0.25">
      <c r="A561" s="437"/>
      <c r="O561" s="437"/>
    </row>
    <row r="562" spans="1:15" x14ac:dyDescent="0.25">
      <c r="A562" s="437"/>
      <c r="O562" s="437"/>
    </row>
    <row r="563" spans="1:15" x14ac:dyDescent="0.25">
      <c r="A563" s="437"/>
      <c r="O563" s="437"/>
    </row>
    <row r="564" spans="1:15" x14ac:dyDescent="0.25">
      <c r="A564" s="437"/>
      <c r="O564" s="437"/>
    </row>
    <row r="565" spans="1:15" x14ac:dyDescent="0.25">
      <c r="A565" s="437"/>
      <c r="O565" s="437"/>
    </row>
    <row r="566" spans="1:15" x14ac:dyDescent="0.25">
      <c r="A566" s="437"/>
      <c r="O566" s="437"/>
    </row>
    <row r="567" spans="1:15" x14ac:dyDescent="0.25">
      <c r="A567" s="437"/>
      <c r="O567" s="437"/>
    </row>
    <row r="568" spans="1:15" x14ac:dyDescent="0.25">
      <c r="A568" s="437"/>
      <c r="O568" s="437"/>
    </row>
    <row r="569" spans="1:15" x14ac:dyDescent="0.25">
      <c r="A569" s="437"/>
      <c r="O569" s="437"/>
    </row>
    <row r="570" spans="1:15" x14ac:dyDescent="0.25">
      <c r="A570" s="437"/>
      <c r="O570" s="437"/>
    </row>
    <row r="571" spans="1:15" x14ac:dyDescent="0.25">
      <c r="A571" s="437"/>
      <c r="O571" s="437"/>
    </row>
    <row r="572" spans="1:15" x14ac:dyDescent="0.25">
      <c r="A572" s="437"/>
      <c r="O572" s="437"/>
    </row>
    <row r="573" spans="1:15" x14ac:dyDescent="0.25">
      <c r="A573" s="437"/>
      <c r="O573" s="437"/>
    </row>
    <row r="574" spans="1:15" x14ac:dyDescent="0.25">
      <c r="A574" s="437"/>
      <c r="O574" s="437"/>
    </row>
    <row r="575" spans="1:15" x14ac:dyDescent="0.25">
      <c r="A575" s="437"/>
      <c r="O575" s="437"/>
    </row>
    <row r="576" spans="1:15" x14ac:dyDescent="0.25">
      <c r="A576" s="437"/>
      <c r="O576" s="437"/>
    </row>
    <row r="577" spans="1:15" x14ac:dyDescent="0.25">
      <c r="A577" s="437"/>
      <c r="O577" s="437"/>
    </row>
    <row r="578" spans="1:15" x14ac:dyDescent="0.25">
      <c r="A578" s="437"/>
      <c r="O578" s="437"/>
    </row>
    <row r="579" spans="1:15" x14ac:dyDescent="0.25">
      <c r="A579" s="437"/>
      <c r="O579" s="437"/>
    </row>
    <row r="580" spans="1:15" x14ac:dyDescent="0.25">
      <c r="A580" s="437"/>
      <c r="O580" s="437"/>
    </row>
    <row r="581" spans="1:15" x14ac:dyDescent="0.25">
      <c r="A581" s="437"/>
      <c r="O581" s="437"/>
    </row>
    <row r="582" spans="1:15" x14ac:dyDescent="0.25">
      <c r="A582" s="437"/>
      <c r="O582" s="437"/>
    </row>
    <row r="583" spans="1:15" x14ac:dyDescent="0.25">
      <c r="A583" s="437"/>
      <c r="O583" s="437"/>
    </row>
    <row r="584" spans="1:15" x14ac:dyDescent="0.25">
      <c r="A584" s="437"/>
      <c r="O584" s="437"/>
    </row>
    <row r="585" spans="1:15" x14ac:dyDescent="0.25">
      <c r="A585" s="437"/>
      <c r="O585" s="437"/>
    </row>
    <row r="586" spans="1:15" x14ac:dyDescent="0.25">
      <c r="A586" s="437"/>
      <c r="O586" s="437"/>
    </row>
    <row r="587" spans="1:15" x14ac:dyDescent="0.25">
      <c r="A587" s="437"/>
      <c r="O587" s="437"/>
    </row>
    <row r="588" spans="1:15" x14ac:dyDescent="0.25">
      <c r="A588" s="437"/>
      <c r="O588" s="437"/>
    </row>
    <row r="589" spans="1:15" x14ac:dyDescent="0.25">
      <c r="A589" s="437"/>
      <c r="O589" s="437"/>
    </row>
    <row r="590" spans="1:15" x14ac:dyDescent="0.25">
      <c r="A590" s="437"/>
      <c r="O590" s="437"/>
    </row>
    <row r="591" spans="1:15" x14ac:dyDescent="0.25">
      <c r="A591" s="437"/>
      <c r="O591" s="437"/>
    </row>
    <row r="592" spans="1:15" x14ac:dyDescent="0.25">
      <c r="A592" s="437"/>
      <c r="O592" s="437"/>
    </row>
    <row r="593" spans="1:15" x14ac:dyDescent="0.25">
      <c r="A593" s="437"/>
      <c r="O593" s="437"/>
    </row>
    <row r="594" spans="1:15" x14ac:dyDescent="0.25">
      <c r="A594" s="437"/>
      <c r="O594" s="437"/>
    </row>
    <row r="595" spans="1:15" x14ac:dyDescent="0.25">
      <c r="A595" s="437"/>
      <c r="O595" s="437"/>
    </row>
    <row r="596" spans="1:15" x14ac:dyDescent="0.25">
      <c r="A596" s="437"/>
      <c r="O596" s="437"/>
    </row>
    <row r="597" spans="1:15" x14ac:dyDescent="0.25">
      <c r="A597" s="437"/>
      <c r="O597" s="437"/>
    </row>
    <row r="598" spans="1:15" x14ac:dyDescent="0.25">
      <c r="A598" s="437"/>
      <c r="O598" s="437"/>
    </row>
    <row r="599" spans="1:15" x14ac:dyDescent="0.25">
      <c r="A599" s="437"/>
      <c r="O599" s="437"/>
    </row>
    <row r="600" spans="1:15" x14ac:dyDescent="0.25">
      <c r="A600" s="437"/>
      <c r="O600" s="437"/>
    </row>
    <row r="601" spans="1:15" x14ac:dyDescent="0.25">
      <c r="A601" s="437"/>
      <c r="O601" s="437"/>
    </row>
    <row r="602" spans="1:15" x14ac:dyDescent="0.25">
      <c r="A602" s="437"/>
      <c r="O602" s="437"/>
    </row>
    <row r="603" spans="1:15" x14ac:dyDescent="0.25">
      <c r="A603" s="437"/>
      <c r="O603" s="437"/>
    </row>
    <row r="604" spans="1:15" x14ac:dyDescent="0.25">
      <c r="A604" s="437"/>
      <c r="O604" s="437"/>
    </row>
    <row r="605" spans="1:15" x14ac:dyDescent="0.25">
      <c r="A605" s="437"/>
      <c r="O605" s="437"/>
    </row>
    <row r="606" spans="1:15" x14ac:dyDescent="0.25">
      <c r="A606" s="437"/>
      <c r="O606" s="437"/>
    </row>
    <row r="607" spans="1:15" x14ac:dyDescent="0.25">
      <c r="A607" s="437"/>
      <c r="O607" s="437"/>
    </row>
    <row r="608" spans="1:15" x14ac:dyDescent="0.25">
      <c r="A608" s="437"/>
      <c r="O608" s="437"/>
    </row>
    <row r="609" spans="1:15" x14ac:dyDescent="0.25">
      <c r="A609" s="437"/>
      <c r="O609" s="437"/>
    </row>
    <row r="610" spans="1:15" x14ac:dyDescent="0.25">
      <c r="A610" s="437"/>
      <c r="O610" s="437"/>
    </row>
    <row r="611" spans="1:15" x14ac:dyDescent="0.25">
      <c r="A611" s="437"/>
      <c r="O611" s="437"/>
    </row>
    <row r="612" spans="1:15" x14ac:dyDescent="0.25">
      <c r="A612" s="437"/>
      <c r="O612" s="437"/>
    </row>
    <row r="613" spans="1:15" x14ac:dyDescent="0.25">
      <c r="A613" s="437"/>
      <c r="O613" s="437"/>
    </row>
    <row r="614" spans="1:15" x14ac:dyDescent="0.25">
      <c r="A614" s="437"/>
      <c r="O614" s="437"/>
    </row>
    <row r="615" spans="1:15" x14ac:dyDescent="0.25">
      <c r="A615" s="437"/>
      <c r="O615" s="437"/>
    </row>
    <row r="616" spans="1:15" x14ac:dyDescent="0.25">
      <c r="A616" s="437"/>
      <c r="O616" s="437"/>
    </row>
    <row r="617" spans="1:15" x14ac:dyDescent="0.25">
      <c r="A617" s="437"/>
      <c r="O617" s="437"/>
    </row>
    <row r="618" spans="1:15" x14ac:dyDescent="0.25">
      <c r="A618" s="437"/>
      <c r="O618" s="437"/>
    </row>
    <row r="619" spans="1:15" x14ac:dyDescent="0.25">
      <c r="A619" s="437"/>
      <c r="O619" s="437"/>
    </row>
    <row r="620" spans="1:15" x14ac:dyDescent="0.25">
      <c r="A620" s="437"/>
      <c r="O620" s="437"/>
    </row>
    <row r="621" spans="1:15" x14ac:dyDescent="0.25">
      <c r="A621" s="437"/>
      <c r="O621" s="437"/>
    </row>
    <row r="622" spans="1:15" x14ac:dyDescent="0.25">
      <c r="A622" s="437"/>
      <c r="O622" s="437"/>
    </row>
    <row r="623" spans="1:15" x14ac:dyDescent="0.25">
      <c r="A623" s="437"/>
      <c r="O623" s="437"/>
    </row>
    <row r="624" spans="1:15" x14ac:dyDescent="0.25">
      <c r="A624" s="437"/>
      <c r="O624" s="437"/>
    </row>
    <row r="625" spans="1:15" x14ac:dyDescent="0.25">
      <c r="A625" s="437"/>
      <c r="O625" s="437"/>
    </row>
    <row r="626" spans="1:15" x14ac:dyDescent="0.25">
      <c r="A626" s="437"/>
      <c r="O626" s="437"/>
    </row>
    <row r="627" spans="1:15" x14ac:dyDescent="0.25">
      <c r="A627" s="437"/>
      <c r="O627" s="437"/>
    </row>
    <row r="628" spans="1:15" x14ac:dyDescent="0.25">
      <c r="A628" s="437"/>
      <c r="O628" s="437"/>
    </row>
    <row r="629" spans="1:15" x14ac:dyDescent="0.25">
      <c r="A629" s="437"/>
      <c r="O629" s="437"/>
    </row>
    <row r="630" spans="1:15" x14ac:dyDescent="0.25">
      <c r="A630" s="437"/>
      <c r="O630" s="437"/>
    </row>
    <row r="631" spans="1:15" x14ac:dyDescent="0.25">
      <c r="A631" s="437"/>
      <c r="O631" s="437"/>
    </row>
    <row r="632" spans="1:15" x14ac:dyDescent="0.25">
      <c r="A632" s="437"/>
      <c r="O632" s="437"/>
    </row>
    <row r="633" spans="1:15" x14ac:dyDescent="0.25">
      <c r="A633" s="437"/>
      <c r="O633" s="437"/>
    </row>
    <row r="634" spans="1:15" x14ac:dyDescent="0.25">
      <c r="A634" s="437"/>
      <c r="O634" s="437"/>
    </row>
    <row r="635" spans="1:15" x14ac:dyDescent="0.25">
      <c r="A635" s="437"/>
      <c r="O635" s="437"/>
    </row>
    <row r="636" spans="1:15" x14ac:dyDescent="0.25">
      <c r="A636" s="437"/>
      <c r="O636" s="437"/>
    </row>
    <row r="637" spans="1:15" x14ac:dyDescent="0.25">
      <c r="A637" s="437"/>
      <c r="O637" s="437"/>
    </row>
    <row r="638" spans="1:15" x14ac:dyDescent="0.25">
      <c r="A638" s="437"/>
      <c r="O638" s="437"/>
    </row>
    <row r="639" spans="1:15" x14ac:dyDescent="0.25">
      <c r="A639" s="437"/>
      <c r="O639" s="437"/>
    </row>
    <row r="640" spans="1:15" x14ac:dyDescent="0.25">
      <c r="A640" s="437"/>
      <c r="O640" s="437"/>
    </row>
    <row r="641" spans="1:15" x14ac:dyDescent="0.25">
      <c r="A641" s="437"/>
      <c r="O641" s="437"/>
    </row>
    <row r="642" spans="1:15" x14ac:dyDescent="0.25">
      <c r="A642" s="437"/>
      <c r="O642" s="437"/>
    </row>
    <row r="643" spans="1:15" x14ac:dyDescent="0.25">
      <c r="A643" s="437"/>
      <c r="O643" s="437"/>
    </row>
    <row r="644" spans="1:15" x14ac:dyDescent="0.25">
      <c r="A644" s="437"/>
      <c r="O644" s="437"/>
    </row>
    <row r="645" spans="1:15" x14ac:dyDescent="0.25">
      <c r="A645" s="437"/>
      <c r="O645" s="437"/>
    </row>
    <row r="646" spans="1:15" x14ac:dyDescent="0.25">
      <c r="A646" s="437"/>
      <c r="O646" s="437"/>
    </row>
    <row r="647" spans="1:15" x14ac:dyDescent="0.25">
      <c r="A647" s="437"/>
      <c r="O647" s="437"/>
    </row>
    <row r="648" spans="1:15" x14ac:dyDescent="0.25">
      <c r="A648" s="437"/>
      <c r="O648" s="437"/>
    </row>
    <row r="649" spans="1:15" x14ac:dyDescent="0.25">
      <c r="A649" s="437"/>
      <c r="O649" s="437"/>
    </row>
    <row r="650" spans="1:15" x14ac:dyDescent="0.25">
      <c r="A650" s="437"/>
      <c r="O650" s="437"/>
    </row>
    <row r="651" spans="1:15" x14ac:dyDescent="0.25">
      <c r="A651" s="437"/>
      <c r="O651" s="437"/>
    </row>
    <row r="652" spans="1:15" x14ac:dyDescent="0.25">
      <c r="A652" s="437"/>
      <c r="O652" s="437"/>
    </row>
    <row r="653" spans="1:15" x14ac:dyDescent="0.25">
      <c r="A653" s="437"/>
      <c r="O653" s="437"/>
    </row>
    <row r="654" spans="1:15" x14ac:dyDescent="0.25">
      <c r="A654" s="437"/>
      <c r="O654" s="437"/>
    </row>
    <row r="655" spans="1:15" x14ac:dyDescent="0.25">
      <c r="A655" s="437"/>
      <c r="O655" s="437"/>
    </row>
    <row r="656" spans="1:15" x14ac:dyDescent="0.25">
      <c r="A656" s="437"/>
      <c r="O656" s="437"/>
    </row>
    <row r="657" spans="1:15" x14ac:dyDescent="0.25">
      <c r="A657" s="437"/>
      <c r="O657" s="437"/>
    </row>
    <row r="658" spans="1:15" x14ac:dyDescent="0.25">
      <c r="A658" s="437"/>
      <c r="O658" s="437"/>
    </row>
    <row r="659" spans="1:15" x14ac:dyDescent="0.25">
      <c r="A659" s="437"/>
      <c r="O659" s="437"/>
    </row>
    <row r="660" spans="1:15" x14ac:dyDescent="0.25">
      <c r="A660" s="437"/>
      <c r="O660" s="437"/>
    </row>
    <row r="661" spans="1:15" x14ac:dyDescent="0.25">
      <c r="A661" s="437"/>
      <c r="O661" s="437"/>
    </row>
    <row r="662" spans="1:15" x14ac:dyDescent="0.25">
      <c r="A662" s="437"/>
      <c r="O662" s="437"/>
    </row>
    <row r="663" spans="1:15" x14ac:dyDescent="0.25">
      <c r="A663" s="437"/>
      <c r="O663" s="437"/>
    </row>
    <row r="664" spans="1:15" x14ac:dyDescent="0.25">
      <c r="A664" s="437"/>
      <c r="O664" s="437"/>
    </row>
    <row r="665" spans="1:15" x14ac:dyDescent="0.25">
      <c r="A665" s="437"/>
      <c r="O665" s="437"/>
    </row>
    <row r="666" spans="1:15" x14ac:dyDescent="0.25">
      <c r="A666" s="437"/>
      <c r="O666" s="437"/>
    </row>
    <row r="667" spans="1:15" x14ac:dyDescent="0.25">
      <c r="A667" s="437"/>
      <c r="O667" s="437"/>
    </row>
    <row r="668" spans="1:15" x14ac:dyDescent="0.25">
      <c r="A668" s="437"/>
      <c r="O668" s="437"/>
    </row>
    <row r="669" spans="1:15" x14ac:dyDescent="0.25">
      <c r="A669" s="437"/>
      <c r="O669" s="437"/>
    </row>
    <row r="670" spans="1:15" x14ac:dyDescent="0.25">
      <c r="A670" s="437"/>
      <c r="O670" s="437"/>
    </row>
    <row r="671" spans="1:15" x14ac:dyDescent="0.25">
      <c r="A671" s="437"/>
      <c r="O671" s="437"/>
    </row>
    <row r="672" spans="1:15" x14ac:dyDescent="0.25">
      <c r="A672" s="437"/>
      <c r="O672" s="437"/>
    </row>
    <row r="673" spans="1:15" x14ac:dyDescent="0.25">
      <c r="A673" s="437"/>
      <c r="O673" s="437"/>
    </row>
    <row r="674" spans="1:15" x14ac:dyDescent="0.25">
      <c r="A674" s="437"/>
      <c r="O674" s="437"/>
    </row>
    <row r="675" spans="1:15" x14ac:dyDescent="0.25">
      <c r="A675" s="437"/>
      <c r="O675" s="437"/>
    </row>
    <row r="676" spans="1:15" x14ac:dyDescent="0.25">
      <c r="A676" s="437"/>
      <c r="O676" s="437"/>
    </row>
    <row r="677" spans="1:15" x14ac:dyDescent="0.25">
      <c r="A677" s="437"/>
      <c r="O677" s="437"/>
    </row>
    <row r="678" spans="1:15" x14ac:dyDescent="0.25">
      <c r="A678" s="437"/>
      <c r="O678" s="437"/>
    </row>
    <row r="679" spans="1:15" x14ac:dyDescent="0.25">
      <c r="A679" s="437"/>
      <c r="O679" s="437"/>
    </row>
    <row r="680" spans="1:15" x14ac:dyDescent="0.25">
      <c r="A680" s="437"/>
      <c r="O680" s="437"/>
    </row>
    <row r="681" spans="1:15" x14ac:dyDescent="0.25">
      <c r="A681" s="437"/>
      <c r="O681" s="437"/>
    </row>
    <row r="682" spans="1:15" x14ac:dyDescent="0.25">
      <c r="A682" s="437"/>
      <c r="O682" s="437"/>
    </row>
    <row r="683" spans="1:15" x14ac:dyDescent="0.25">
      <c r="A683" s="437"/>
      <c r="O683" s="437"/>
    </row>
    <row r="684" spans="1:15" x14ac:dyDescent="0.25">
      <c r="A684" s="437"/>
      <c r="O684" s="437"/>
    </row>
    <row r="685" spans="1:15" x14ac:dyDescent="0.25">
      <c r="A685" s="437"/>
      <c r="O685" s="437"/>
    </row>
    <row r="686" spans="1:15" x14ac:dyDescent="0.25">
      <c r="A686" s="437"/>
      <c r="O686" s="437"/>
    </row>
    <row r="687" spans="1:15" x14ac:dyDescent="0.25">
      <c r="A687" s="437"/>
      <c r="O687" s="437"/>
    </row>
    <row r="688" spans="1:15" x14ac:dyDescent="0.25">
      <c r="A688" s="437"/>
      <c r="O688" s="437"/>
    </row>
    <row r="689" spans="1:15" x14ac:dyDescent="0.25">
      <c r="A689" s="437"/>
      <c r="O689" s="437"/>
    </row>
    <row r="690" spans="1:15" x14ac:dyDescent="0.25">
      <c r="A690" s="437"/>
      <c r="O690" s="437"/>
    </row>
    <row r="691" spans="1:15" x14ac:dyDescent="0.25">
      <c r="A691" s="437"/>
      <c r="O691" s="437"/>
    </row>
    <row r="692" spans="1:15" x14ac:dyDescent="0.25">
      <c r="A692" s="437"/>
      <c r="O692" s="437"/>
    </row>
    <row r="693" spans="1:15" x14ac:dyDescent="0.25">
      <c r="A693" s="437"/>
      <c r="O693" s="437"/>
    </row>
    <row r="694" spans="1:15" x14ac:dyDescent="0.25">
      <c r="A694" s="437"/>
      <c r="O694" s="437"/>
    </row>
    <row r="695" spans="1:15" x14ac:dyDescent="0.25">
      <c r="A695" s="437"/>
      <c r="O695" s="437"/>
    </row>
    <row r="696" spans="1:15" x14ac:dyDescent="0.25">
      <c r="A696" s="437"/>
      <c r="O696" s="437"/>
    </row>
    <row r="697" spans="1:15" x14ac:dyDescent="0.25">
      <c r="A697" s="437"/>
      <c r="O697" s="437"/>
    </row>
    <row r="698" spans="1:15" x14ac:dyDescent="0.25">
      <c r="A698" s="437"/>
      <c r="O698" s="437"/>
    </row>
    <row r="699" spans="1:15" x14ac:dyDescent="0.25">
      <c r="A699" s="437"/>
      <c r="O699" s="437"/>
    </row>
    <row r="700" spans="1:15" x14ac:dyDescent="0.25">
      <c r="A700" s="437"/>
      <c r="O700" s="437"/>
    </row>
    <row r="701" spans="1:15" x14ac:dyDescent="0.25">
      <c r="A701" s="437"/>
      <c r="O701" s="437"/>
    </row>
    <row r="702" spans="1:15" x14ac:dyDescent="0.25">
      <c r="A702" s="437"/>
      <c r="O702" s="437"/>
    </row>
    <row r="703" spans="1:15" x14ac:dyDescent="0.25">
      <c r="A703" s="437"/>
      <c r="O703" s="437"/>
    </row>
    <row r="704" spans="1:15" x14ac:dyDescent="0.25">
      <c r="A704" s="437"/>
      <c r="O704" s="437"/>
    </row>
    <row r="705" spans="1:15" x14ac:dyDescent="0.25">
      <c r="A705" s="437"/>
      <c r="O705" s="437"/>
    </row>
    <row r="706" spans="1:15" x14ac:dyDescent="0.25">
      <c r="A706" s="437"/>
      <c r="O706" s="437"/>
    </row>
    <row r="707" spans="1:15" x14ac:dyDescent="0.25">
      <c r="A707" s="437"/>
      <c r="O707" s="437"/>
    </row>
    <row r="708" spans="1:15" x14ac:dyDescent="0.25">
      <c r="A708" s="437"/>
      <c r="O708" s="437"/>
    </row>
    <row r="709" spans="1:15" x14ac:dyDescent="0.25">
      <c r="A709" s="437"/>
      <c r="O709" s="437"/>
    </row>
    <row r="710" spans="1:15" x14ac:dyDescent="0.25">
      <c r="A710" s="437"/>
      <c r="O710" s="437"/>
    </row>
    <row r="711" spans="1:15" x14ac:dyDescent="0.25">
      <c r="A711" s="437"/>
      <c r="O711" s="437"/>
    </row>
    <row r="712" spans="1:15" x14ac:dyDescent="0.25">
      <c r="A712" s="437"/>
      <c r="O712" s="437"/>
    </row>
    <row r="713" spans="1:15" x14ac:dyDescent="0.25">
      <c r="A713" s="437"/>
      <c r="O713" s="437"/>
    </row>
    <row r="714" spans="1:15" x14ac:dyDescent="0.25">
      <c r="A714" s="437"/>
      <c r="O714" s="437"/>
    </row>
    <row r="715" spans="1:15" x14ac:dyDescent="0.25">
      <c r="A715" s="437"/>
      <c r="O715" s="437"/>
    </row>
    <row r="716" spans="1:15" x14ac:dyDescent="0.25">
      <c r="A716" s="437"/>
      <c r="O716" s="437"/>
    </row>
    <row r="717" spans="1:15" x14ac:dyDescent="0.25">
      <c r="A717" s="437"/>
      <c r="O717" s="437"/>
    </row>
    <row r="718" spans="1:15" x14ac:dyDescent="0.25">
      <c r="A718" s="437"/>
      <c r="O718" s="437"/>
    </row>
    <row r="719" spans="1:15" x14ac:dyDescent="0.25">
      <c r="A719" s="437"/>
      <c r="O719" s="437"/>
    </row>
    <row r="720" spans="1:15" x14ac:dyDescent="0.25">
      <c r="A720" s="437"/>
      <c r="O720" s="437"/>
    </row>
    <row r="721" spans="1:15" x14ac:dyDescent="0.25">
      <c r="A721" s="437"/>
      <c r="O721" s="437"/>
    </row>
    <row r="722" spans="1:15" x14ac:dyDescent="0.25">
      <c r="A722" s="437"/>
      <c r="O722" s="437"/>
    </row>
    <row r="723" spans="1:15" x14ac:dyDescent="0.25">
      <c r="A723" s="437"/>
      <c r="O723" s="437"/>
    </row>
    <row r="724" spans="1:15" x14ac:dyDescent="0.25">
      <c r="A724" s="437"/>
      <c r="O724" s="437"/>
    </row>
    <row r="725" spans="1:15" x14ac:dyDescent="0.25">
      <c r="A725" s="437"/>
      <c r="O725" s="437"/>
    </row>
    <row r="726" spans="1:15" x14ac:dyDescent="0.25">
      <c r="A726" s="437"/>
      <c r="O726" s="437"/>
    </row>
    <row r="727" spans="1:15" x14ac:dyDescent="0.25">
      <c r="A727" s="437"/>
      <c r="O727" s="437"/>
    </row>
    <row r="728" spans="1:15" x14ac:dyDescent="0.25">
      <c r="A728" s="437"/>
      <c r="O728" s="437"/>
    </row>
    <row r="729" spans="1:15" x14ac:dyDescent="0.25">
      <c r="A729" s="437"/>
      <c r="O729" s="437"/>
    </row>
    <row r="730" spans="1:15" x14ac:dyDescent="0.25">
      <c r="A730" s="437"/>
      <c r="O730" s="437"/>
    </row>
    <row r="731" spans="1:15" x14ac:dyDescent="0.25">
      <c r="A731" s="437"/>
      <c r="O731" s="437"/>
    </row>
    <row r="732" spans="1:15" x14ac:dyDescent="0.25">
      <c r="A732" s="437"/>
      <c r="O732" s="437"/>
    </row>
    <row r="733" spans="1:15" x14ac:dyDescent="0.25">
      <c r="A733" s="437"/>
      <c r="O733" s="437"/>
    </row>
    <row r="734" spans="1:15" x14ac:dyDescent="0.25">
      <c r="A734" s="437"/>
      <c r="O734" s="437"/>
    </row>
    <row r="735" spans="1:15" x14ac:dyDescent="0.25">
      <c r="A735" s="437"/>
      <c r="O735" s="437"/>
    </row>
    <row r="736" spans="1:15" x14ac:dyDescent="0.25">
      <c r="A736" s="437"/>
      <c r="O736" s="437"/>
    </row>
    <row r="737" spans="1:15" x14ac:dyDescent="0.25">
      <c r="A737" s="437"/>
      <c r="O737" s="437"/>
    </row>
    <row r="738" spans="1:15" x14ac:dyDescent="0.25">
      <c r="A738" s="437"/>
      <c r="O738" s="437"/>
    </row>
    <row r="739" spans="1:15" x14ac:dyDescent="0.25">
      <c r="A739" s="437"/>
      <c r="O739" s="437"/>
    </row>
    <row r="740" spans="1:15" x14ac:dyDescent="0.25">
      <c r="A740" s="437"/>
      <c r="O740" s="437"/>
    </row>
    <row r="741" spans="1:15" x14ac:dyDescent="0.25">
      <c r="A741" s="437"/>
      <c r="O741" s="437"/>
    </row>
    <row r="742" spans="1:15" x14ac:dyDescent="0.25">
      <c r="A742" s="437"/>
      <c r="O742" s="437"/>
    </row>
    <row r="743" spans="1:15" x14ac:dyDescent="0.25">
      <c r="A743" s="437"/>
      <c r="O743" s="437"/>
    </row>
    <row r="744" spans="1:15" x14ac:dyDescent="0.25">
      <c r="A744" s="437"/>
      <c r="O744" s="437"/>
    </row>
    <row r="745" spans="1:15" x14ac:dyDescent="0.25">
      <c r="A745" s="437"/>
      <c r="O745" s="437"/>
    </row>
    <row r="746" spans="1:15" x14ac:dyDescent="0.25">
      <c r="A746" s="437"/>
      <c r="O746" s="437"/>
    </row>
    <row r="747" spans="1:15" x14ac:dyDescent="0.25">
      <c r="A747" s="437"/>
      <c r="O747" s="437"/>
    </row>
    <row r="748" spans="1:15" x14ac:dyDescent="0.25">
      <c r="A748" s="437"/>
      <c r="O748" s="437"/>
    </row>
    <row r="749" spans="1:15" x14ac:dyDescent="0.25">
      <c r="A749" s="437"/>
      <c r="O749" s="437"/>
    </row>
    <row r="750" spans="1:15" x14ac:dyDescent="0.25">
      <c r="A750" s="437"/>
      <c r="O750" s="437"/>
    </row>
    <row r="751" spans="1:15" x14ac:dyDescent="0.25">
      <c r="A751" s="437"/>
      <c r="O751" s="437"/>
    </row>
    <row r="752" spans="1:15" x14ac:dyDescent="0.25">
      <c r="A752" s="437"/>
      <c r="O752" s="437"/>
    </row>
    <row r="753" spans="1:15" x14ac:dyDescent="0.25">
      <c r="A753" s="437"/>
      <c r="O753" s="437"/>
    </row>
    <row r="754" spans="1:15" x14ac:dyDescent="0.25">
      <c r="A754" s="437"/>
      <c r="O754" s="437"/>
    </row>
    <row r="755" spans="1:15" x14ac:dyDescent="0.25">
      <c r="O755" s="437"/>
    </row>
    <row r="756" spans="1:15" x14ac:dyDescent="0.25">
      <c r="O756" s="437"/>
    </row>
    <row r="757" spans="1:15" x14ac:dyDescent="0.25">
      <c r="O757" s="437"/>
    </row>
    <row r="758" spans="1:15" x14ac:dyDescent="0.25">
      <c r="O758" s="437"/>
    </row>
    <row r="759" spans="1:15" x14ac:dyDescent="0.25">
      <c r="O759" s="437"/>
    </row>
    <row r="760" spans="1:15" x14ac:dyDescent="0.25">
      <c r="O760" s="437"/>
    </row>
    <row r="761" spans="1:15" x14ac:dyDescent="0.25">
      <c r="O761" s="437"/>
    </row>
    <row r="762" spans="1:15" x14ac:dyDescent="0.25">
      <c r="O762" s="437"/>
    </row>
    <row r="763" spans="1:15" x14ac:dyDescent="0.25">
      <c r="O763" s="437"/>
    </row>
    <row r="764" spans="1:15" x14ac:dyDescent="0.25">
      <c r="O764" s="437"/>
    </row>
    <row r="765" spans="1:15" x14ac:dyDescent="0.25">
      <c r="O765" s="437"/>
    </row>
    <row r="766" spans="1:15" x14ac:dyDescent="0.25">
      <c r="O766" s="437"/>
    </row>
    <row r="767" spans="1:15" x14ac:dyDescent="0.25">
      <c r="O767" s="437"/>
    </row>
    <row r="768" spans="1:15" x14ac:dyDescent="0.25">
      <c r="O768" s="437"/>
    </row>
    <row r="769" spans="15:15" x14ac:dyDescent="0.25">
      <c r="O769" s="437"/>
    </row>
    <row r="770" spans="15:15" x14ac:dyDescent="0.25">
      <c r="O770" s="437"/>
    </row>
    <row r="771" spans="15:15" x14ac:dyDescent="0.25">
      <c r="O771" s="437"/>
    </row>
    <row r="772" spans="15:15" x14ac:dyDescent="0.25">
      <c r="O772" s="437"/>
    </row>
    <row r="773" spans="15:15" x14ac:dyDescent="0.25">
      <c r="O773" s="437"/>
    </row>
    <row r="774" spans="15:15" x14ac:dyDescent="0.25">
      <c r="O774" s="437"/>
    </row>
    <row r="775" spans="15:15" x14ac:dyDescent="0.25">
      <c r="O775" s="437"/>
    </row>
    <row r="776" spans="15:15" x14ac:dyDescent="0.25">
      <c r="O776" s="437"/>
    </row>
    <row r="777" spans="15:15" x14ac:dyDescent="0.25">
      <c r="O777" s="437"/>
    </row>
    <row r="778" spans="15:15" x14ac:dyDescent="0.25">
      <c r="O778" s="437"/>
    </row>
    <row r="779" spans="15:15" x14ac:dyDescent="0.25">
      <c r="O779" s="437"/>
    </row>
    <row r="780" spans="15:15" x14ac:dyDescent="0.25">
      <c r="O780" s="437"/>
    </row>
    <row r="781" spans="15:15" x14ac:dyDescent="0.25">
      <c r="O781" s="437"/>
    </row>
    <row r="782" spans="15:15" x14ac:dyDescent="0.25">
      <c r="O782" s="437"/>
    </row>
    <row r="783" spans="15:15" x14ac:dyDescent="0.25">
      <c r="O783" s="437"/>
    </row>
  </sheetData>
  <conditionalFormatting sqref="Q17 U17 U23 U19 U21 U25">
    <cfRule type="expression" dxfId="40" priority="49">
      <formula>$AN$8&gt;($AK$4-$AP$8)</formula>
    </cfRule>
    <cfRule type="expression" dxfId="39" priority="50">
      <formula>$AN$8&gt;0</formula>
    </cfRule>
  </conditionalFormatting>
  <conditionalFormatting sqref="S17">
    <cfRule type="expression" dxfId="38" priority="47">
      <formula>$AN$8&gt;($AK$4-$AP$8)</formula>
    </cfRule>
    <cfRule type="expression" dxfId="37" priority="48">
      <formula>$AN$8&gt;0</formula>
    </cfRule>
  </conditionalFormatting>
  <conditionalFormatting sqref="S23">
    <cfRule type="expression" dxfId="36" priority="35">
      <formula>$AN$8&gt;($AK$4-$AP$8)</formula>
    </cfRule>
    <cfRule type="expression" dxfId="35" priority="36">
      <formula>$AN$8&gt;0</formula>
    </cfRule>
  </conditionalFormatting>
  <conditionalFormatting sqref="S19">
    <cfRule type="expression" dxfId="34" priority="43">
      <formula>$AN$8&gt;($AK$4-$AP$8)</formula>
    </cfRule>
    <cfRule type="expression" dxfId="33" priority="44">
      <formula>$AN$8&gt;0</formula>
    </cfRule>
  </conditionalFormatting>
  <conditionalFormatting sqref="S21">
    <cfRule type="expression" dxfId="32" priority="39">
      <formula>$AN$8&gt;($AK$4-$AP$8)</formula>
    </cfRule>
    <cfRule type="expression" dxfId="31" priority="40">
      <formula>$AN$8&gt;0</formula>
    </cfRule>
  </conditionalFormatting>
  <conditionalFormatting sqref="S25">
    <cfRule type="expression" dxfId="30" priority="31">
      <formula>$AN$8&gt;($AK$4-$AP$8)</formula>
    </cfRule>
    <cfRule type="expression" dxfId="29" priority="32">
      <formula>$AN$8&gt;0</formula>
    </cfRule>
  </conditionalFormatting>
  <conditionalFormatting sqref="Q19">
    <cfRule type="expression" dxfId="28" priority="29">
      <formula>$AN$8&gt;($AK$4-$AP$8)</formula>
    </cfRule>
    <cfRule type="expression" dxfId="27" priority="30">
      <formula>$AN$8&gt;0</formula>
    </cfRule>
  </conditionalFormatting>
  <conditionalFormatting sqref="Q21">
    <cfRule type="expression" dxfId="26" priority="27">
      <formula>$AN$8&gt;($AK$4-$AP$8)</formula>
    </cfRule>
    <cfRule type="expression" dxfId="25" priority="28">
      <formula>$AN$8&gt;0</formula>
    </cfRule>
  </conditionalFormatting>
  <conditionalFormatting sqref="Q23">
    <cfRule type="expression" dxfId="24" priority="25">
      <formula>$AN$8&gt;($AK$4-$AP$8)</formula>
    </cfRule>
    <cfRule type="expression" dxfId="23" priority="26">
      <formula>$AN$8&gt;0</formula>
    </cfRule>
  </conditionalFormatting>
  <conditionalFormatting sqref="Q25">
    <cfRule type="expression" dxfId="22" priority="23">
      <formula>$AN$8&gt;($AK$4-$AP$8)</formula>
    </cfRule>
    <cfRule type="expression" dxfId="21" priority="24">
      <formula>$AN$8&gt;0</formula>
    </cfRule>
  </conditionalFormatting>
  <conditionalFormatting sqref="Q30">
    <cfRule type="expression" dxfId="20" priority="21">
      <formula>$AN$8&gt;($AK$4-$AP$8)</formula>
    </cfRule>
    <cfRule type="expression" dxfId="19" priority="22">
      <formula>$AN$8&gt;0</formula>
    </cfRule>
  </conditionalFormatting>
  <conditionalFormatting sqref="K37">
    <cfRule type="cellIs" dxfId="18" priority="15" operator="lessThan">
      <formula>400</formula>
    </cfRule>
    <cfRule type="cellIs" dxfId="17" priority="16" operator="between">
      <formula>400</formula>
      <formula>500</formula>
    </cfRule>
    <cfRule type="cellIs" dxfId="16" priority="17" operator="greaterThan">
      <formula>500</formula>
    </cfRule>
  </conditionalFormatting>
  <conditionalFormatting sqref="K38:K40">
    <cfRule type="cellIs" dxfId="15" priority="12" operator="lessThan">
      <formula>200</formula>
    </cfRule>
    <cfRule type="cellIs" dxfId="14" priority="13" operator="between">
      <formula>200</formula>
      <formula>250</formula>
    </cfRule>
    <cfRule type="cellIs" dxfId="13" priority="14" operator="greaterThan">
      <formula>250</formula>
    </cfRule>
  </conditionalFormatting>
  <conditionalFormatting sqref="E37">
    <cfRule type="cellIs" dxfId="12" priority="7" operator="lessThan">
      <formula>30</formula>
    </cfRule>
    <cfRule type="cellIs" dxfId="11" priority="8" operator="between">
      <formula>30</formula>
      <formula>60</formula>
    </cfRule>
    <cfRule type="cellIs" dxfId="10" priority="9" operator="between">
      <formula>60</formula>
      <formula>130</formula>
    </cfRule>
    <cfRule type="cellIs" dxfId="9" priority="10" operator="between">
      <formula>130</formula>
      <formula>150</formula>
    </cfRule>
    <cfRule type="cellIs" dxfId="8" priority="11" operator="greaterThan">
      <formula>150</formula>
    </cfRule>
  </conditionalFormatting>
  <conditionalFormatting sqref="E38">
    <cfRule type="cellIs" dxfId="7" priority="5" operator="lessThan">
      <formula>20</formula>
    </cfRule>
    <cfRule type="cellIs" dxfId="6" priority="6" operator="greaterThan">
      <formula>20</formula>
    </cfRule>
  </conditionalFormatting>
  <conditionalFormatting sqref="E39">
    <cfRule type="cellIs" dxfId="5" priority="2" operator="lessThan">
      <formula>45</formula>
    </cfRule>
    <cfRule type="cellIs" dxfId="4" priority="3" operator="between">
      <formula>45</formula>
      <formula>50</formula>
    </cfRule>
    <cfRule type="cellIs" dxfId="3" priority="4" operator="greaterThan">
      <formula>50</formula>
    </cfRule>
  </conditionalFormatting>
  <hyperlinks>
    <hyperlink ref="W4" r:id="rId1"/>
  </hyperlinks>
  <pageMargins left="0.7" right="0.7" top="0.78740157499999996" bottom="0.78740157499999996" header="0.3" footer="0.3"/>
  <pageSetup paperSize="9" orientation="portrait" verticalDpi="0" r:id="rId2"/>
  <drawing r:id="rId3"/>
  <legacyDrawing r:id="rId4"/>
  <extLst>
    <ext xmlns:x14="http://schemas.microsoft.com/office/spreadsheetml/2009/9/main" uri="{78C0D931-6437-407d-A8EE-F0AAD7539E65}">
      <x14:conditionalFormattings>
        <x14:conditionalFormatting xmlns:xm="http://schemas.microsoft.com/office/excel/2006/main">
          <x14:cfRule type="colorScale" priority="20" id="{EA73CA6B-0728-4080-B584-4C1274FEC64F}">
            <x14:colorScale>
              <x14:cfvo type="min"/>
              <x14:cfvo type="num">
                <xm:f>Zielmengenrechner!$G$22</xm:f>
              </x14:cfvo>
              <x14:cfvo type="max"/>
              <x14:color rgb="FFFF3300"/>
              <x14:color rgb="FF00B050"/>
              <x14:color rgb="FFFF3300"/>
            </x14:colorScale>
          </x14:cfRule>
          <xm:sqref>G24</xm:sqref>
        </x14:conditionalFormatting>
        <x14:conditionalFormatting xmlns:xm="http://schemas.microsoft.com/office/excel/2006/main">
          <x14:cfRule type="expression" priority="19" id="{FAD251F6-D698-42FF-AF3F-8C71A67C52E0}">
            <xm:f>Zielmengenrechner!$J$28&lt;&gt;""</xm:f>
            <x14:dxf>
              <font>
                <strike val="0"/>
                <color theme="7" tint="0.39994506668294322"/>
              </font>
              <fill>
                <patternFill>
                  <bgColor rgb="FFFF0000"/>
                </patternFill>
              </fill>
            </x14:dxf>
          </x14:cfRule>
          <xm:sqref>K28:N29</xm:sqref>
        </x14:conditionalFormatting>
        <x14:conditionalFormatting xmlns:xm="http://schemas.microsoft.com/office/excel/2006/main">
          <x14:cfRule type="expression" priority="18" id="{3F0194B6-DAE4-4CBC-9C0C-7CEE6DA497C6}">
            <xm:f>Zielmengenrechner!$J$31&lt;&gt;""</xm:f>
            <x14:dxf>
              <font>
                <strike val="0"/>
                <color theme="7" tint="0.39994506668294322"/>
              </font>
              <fill>
                <patternFill>
                  <bgColor rgb="FFFF0000"/>
                </patternFill>
              </fill>
            </x14:dxf>
          </x14:cfRule>
          <xm:sqref>J31:O32</xm:sqref>
        </x14:conditionalFormatting>
        <x14:conditionalFormatting xmlns:xm="http://schemas.microsoft.com/office/excel/2006/main">
          <x14:cfRule type="expression" priority="1" id="{28A576A6-DAB8-4758-A052-554CCC454BB7}">
            <xm:f>Zielmengenrechner!$K$34&lt;&gt;""</xm:f>
            <x14:dxf>
              <font>
                <strike val="0"/>
                <color theme="7" tint="0.39994506668294322"/>
              </font>
              <fill>
                <patternFill>
                  <bgColor rgb="FFFF0000"/>
                </patternFill>
              </fill>
            </x14:dxf>
          </x14:cfRule>
          <xm:sqref>K34:N34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'Infos &amp; Hilfseinträge'!$N$21:$N$22</xm:f>
          </x14:formula1>
          <xm:sqref>Q17 Q19 Q21 Q23 Q25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B1:BD49"/>
  <sheetViews>
    <sheetView showGridLines="0" topLeftCell="A4" workbookViewId="0">
      <selection activeCell="AY51" sqref="AY51:AY52"/>
    </sheetView>
  </sheetViews>
  <sheetFormatPr baseColWidth="10" defaultRowHeight="15" x14ac:dyDescent="0.25"/>
  <cols>
    <col min="1" max="1" width="3.85546875" customWidth="1"/>
    <col min="10" max="10" width="8.42578125" customWidth="1"/>
    <col min="22" max="22" width="41.85546875" customWidth="1"/>
  </cols>
  <sheetData>
    <row r="1" spans="2:56" x14ac:dyDescent="0.25">
      <c r="X1" t="s">
        <v>276</v>
      </c>
    </row>
    <row r="2" spans="2:56" ht="21" x14ac:dyDescent="0.35">
      <c r="B2" s="4" t="s">
        <v>390</v>
      </c>
    </row>
    <row r="3" spans="2:56" x14ac:dyDescent="0.25">
      <c r="B3" t="s">
        <v>267</v>
      </c>
    </row>
    <row r="4" spans="2:56" x14ac:dyDescent="0.25">
      <c r="B4" t="s">
        <v>262</v>
      </c>
      <c r="K4" t="s">
        <v>365</v>
      </c>
      <c r="P4" t="s">
        <v>366</v>
      </c>
      <c r="V4" t="s">
        <v>278</v>
      </c>
      <c r="AY4" t="s">
        <v>272</v>
      </c>
      <c r="BD4" t="s">
        <v>273</v>
      </c>
    </row>
    <row r="5" spans="2:56" x14ac:dyDescent="0.25">
      <c r="K5" s="68" t="s">
        <v>368</v>
      </c>
      <c r="P5" t="s">
        <v>367</v>
      </c>
      <c r="V5" t="s">
        <v>271</v>
      </c>
    </row>
    <row r="6" spans="2:56" x14ac:dyDescent="0.25">
      <c r="AB6" t="s">
        <v>303</v>
      </c>
      <c r="AM6" s="68" t="s">
        <v>275</v>
      </c>
    </row>
    <row r="7" spans="2:56" x14ac:dyDescent="0.25">
      <c r="AB7" t="s">
        <v>389</v>
      </c>
    </row>
    <row r="8" spans="2:56" x14ac:dyDescent="0.25">
      <c r="AM8" t="s">
        <v>279</v>
      </c>
    </row>
    <row r="27" spans="2:11" x14ac:dyDescent="0.25">
      <c r="B27" t="s">
        <v>263</v>
      </c>
    </row>
    <row r="30" spans="2:11" x14ac:dyDescent="0.25">
      <c r="K30" t="s">
        <v>264</v>
      </c>
    </row>
    <row r="31" spans="2:11" x14ac:dyDescent="0.25">
      <c r="K31" t="s">
        <v>265</v>
      </c>
    </row>
    <row r="32" spans="2:11" x14ac:dyDescent="0.25">
      <c r="K32" t="s">
        <v>266</v>
      </c>
    </row>
    <row r="38" spans="16:51" x14ac:dyDescent="0.25">
      <c r="V38" s="68"/>
    </row>
    <row r="39" spans="16:51" x14ac:dyDescent="0.25">
      <c r="V39" s="68"/>
    </row>
    <row r="40" spans="16:51" x14ac:dyDescent="0.25">
      <c r="V40" s="68"/>
    </row>
    <row r="41" spans="16:51" x14ac:dyDescent="0.25">
      <c r="P41" t="s">
        <v>268</v>
      </c>
    </row>
    <row r="42" spans="16:51" x14ac:dyDescent="0.25">
      <c r="P42" t="s">
        <v>269</v>
      </c>
      <c r="AY42" t="s">
        <v>280</v>
      </c>
    </row>
    <row r="43" spans="16:51" x14ac:dyDescent="0.25">
      <c r="P43" t="s">
        <v>270</v>
      </c>
      <c r="AY43" t="s">
        <v>283</v>
      </c>
    </row>
    <row r="44" spans="16:51" x14ac:dyDescent="0.25">
      <c r="AY44" t="s">
        <v>281</v>
      </c>
    </row>
    <row r="45" spans="16:51" x14ac:dyDescent="0.25">
      <c r="AY45" t="s">
        <v>282</v>
      </c>
    </row>
    <row r="47" spans="16:51" x14ac:dyDescent="0.25">
      <c r="AY47" t="s">
        <v>284</v>
      </c>
    </row>
    <row r="48" spans="16:51" x14ac:dyDescent="0.25">
      <c r="AY48" t="s">
        <v>285</v>
      </c>
    </row>
    <row r="49" spans="51:51" x14ac:dyDescent="0.25">
      <c r="AY49" t="s">
        <v>274</v>
      </c>
    </row>
  </sheetData>
  <pageMargins left="0.7" right="0.7" top="0.78740157499999996" bottom="0.78740157499999996"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X91"/>
  <sheetViews>
    <sheetView showGridLines="0" zoomScale="80" zoomScaleNormal="80" workbookViewId="0">
      <selection activeCell="C48" sqref="C48"/>
    </sheetView>
  </sheetViews>
  <sheetFormatPr baseColWidth="10" defaultRowHeight="15" x14ac:dyDescent="0.25"/>
  <cols>
    <col min="2" max="2" width="19.5703125" customWidth="1"/>
    <col min="3" max="3" width="49.85546875" customWidth="1"/>
    <col min="9" max="9" width="19.42578125" customWidth="1"/>
    <col min="10" max="10" width="16.7109375" customWidth="1"/>
    <col min="11" max="11" width="15.5703125" customWidth="1"/>
    <col min="22" max="22" width="46" customWidth="1"/>
    <col min="23" max="23" width="24" customWidth="1"/>
    <col min="24" max="28" width="18.28515625" customWidth="1"/>
    <col min="45" max="45" width="22.85546875" bestFit="1" customWidth="1"/>
    <col min="46" max="50" width="15.85546875" customWidth="1"/>
  </cols>
  <sheetData>
    <row r="2" spans="2:50" ht="21" x14ac:dyDescent="0.35">
      <c r="B2" s="29" t="s">
        <v>237</v>
      </c>
    </row>
    <row r="3" spans="2:50" ht="21" x14ac:dyDescent="0.35">
      <c r="B3" s="29"/>
      <c r="AS3" s="221" t="s">
        <v>252</v>
      </c>
      <c r="AT3" s="222" t="s">
        <v>40</v>
      </c>
      <c r="AU3" s="222" t="s">
        <v>41</v>
      </c>
      <c r="AV3" s="222" t="s">
        <v>37</v>
      </c>
      <c r="AW3" s="222" t="s">
        <v>38</v>
      </c>
      <c r="AX3" s="222" t="s">
        <v>36</v>
      </c>
    </row>
    <row r="4" spans="2:50" x14ac:dyDescent="0.25">
      <c r="B4" s="1" t="s">
        <v>304</v>
      </c>
      <c r="AS4" t="s">
        <v>347</v>
      </c>
    </row>
    <row r="5" spans="2:50" ht="19.5" thickBot="1" x14ac:dyDescent="0.35">
      <c r="I5" s="19" t="s">
        <v>23</v>
      </c>
      <c r="V5" s="226" t="s">
        <v>349</v>
      </c>
      <c r="AS5" s="217" t="s">
        <v>108</v>
      </c>
      <c r="AT5" s="218" t="s">
        <v>75</v>
      </c>
      <c r="AU5" s="218" t="s">
        <v>46</v>
      </c>
      <c r="AV5" s="218" t="s">
        <v>54</v>
      </c>
      <c r="AW5" s="218" t="s">
        <v>60</v>
      </c>
      <c r="AX5" s="218" t="s">
        <v>69</v>
      </c>
    </row>
    <row r="6" spans="2:50" x14ac:dyDescent="0.25">
      <c r="B6" t="s">
        <v>305</v>
      </c>
      <c r="C6" t="s">
        <v>306</v>
      </c>
      <c r="I6" s="19" t="s">
        <v>244</v>
      </c>
      <c r="V6" s="228" t="s">
        <v>350</v>
      </c>
      <c r="W6" s="229" t="s">
        <v>356</v>
      </c>
      <c r="X6" s="230" t="s">
        <v>355</v>
      </c>
      <c r="Y6" s="230" t="s">
        <v>357</v>
      </c>
      <c r="Z6" s="230" t="s">
        <v>358</v>
      </c>
      <c r="AA6" s="230" t="s">
        <v>359</v>
      </c>
      <c r="AB6" s="231" t="s">
        <v>360</v>
      </c>
      <c r="AS6" s="217" t="s">
        <v>104</v>
      </c>
      <c r="AT6" s="218" t="s">
        <v>74</v>
      </c>
      <c r="AU6" s="218" t="s">
        <v>61</v>
      </c>
      <c r="AV6" s="218" t="s">
        <v>54</v>
      </c>
      <c r="AW6" s="218" t="s">
        <v>44</v>
      </c>
      <c r="AX6" s="218" t="s">
        <v>43</v>
      </c>
    </row>
    <row r="7" spans="2:50" x14ac:dyDescent="0.25">
      <c r="V7" s="232" t="s">
        <v>345</v>
      </c>
      <c r="W7" s="227">
        <v>0</v>
      </c>
      <c r="X7" s="227">
        <v>0</v>
      </c>
      <c r="Y7" s="227">
        <v>0</v>
      </c>
      <c r="Z7" s="227">
        <v>0</v>
      </c>
      <c r="AA7" s="227">
        <v>0</v>
      </c>
      <c r="AB7" s="233">
        <v>0</v>
      </c>
      <c r="AS7" s="219" t="s">
        <v>79</v>
      </c>
      <c r="AT7" s="218" t="s">
        <v>45</v>
      </c>
      <c r="AU7" s="218" t="s">
        <v>46</v>
      </c>
      <c r="AV7" s="218" t="s">
        <v>247</v>
      </c>
      <c r="AW7" s="218" t="s">
        <v>44</v>
      </c>
      <c r="AX7" s="220" t="s">
        <v>248</v>
      </c>
    </row>
    <row r="8" spans="2:50" ht="15.75" x14ac:dyDescent="0.25">
      <c r="B8" t="s">
        <v>307</v>
      </c>
      <c r="C8" t="s">
        <v>314</v>
      </c>
      <c r="V8" s="462" t="s">
        <v>439</v>
      </c>
      <c r="W8" s="171">
        <v>174</v>
      </c>
      <c r="X8" s="171">
        <v>89</v>
      </c>
      <c r="Y8" s="171">
        <v>26</v>
      </c>
      <c r="Z8" s="171">
        <v>86</v>
      </c>
      <c r="AA8" s="171">
        <v>7</v>
      </c>
      <c r="AB8" s="234">
        <v>7.5</v>
      </c>
      <c r="AS8" s="217" t="s">
        <v>105</v>
      </c>
      <c r="AT8" s="218" t="s">
        <v>74</v>
      </c>
      <c r="AU8" s="218" t="s">
        <v>61</v>
      </c>
      <c r="AV8" s="218" t="s">
        <v>54</v>
      </c>
      <c r="AW8" s="218" t="s">
        <v>44</v>
      </c>
      <c r="AX8" s="218" t="s">
        <v>43</v>
      </c>
    </row>
    <row r="9" spans="2:50" ht="15.75" x14ac:dyDescent="0.25">
      <c r="C9" t="s">
        <v>308</v>
      </c>
      <c r="I9" s="1" t="s">
        <v>162</v>
      </c>
      <c r="V9" s="462" t="s">
        <v>438</v>
      </c>
      <c r="W9" s="171">
        <v>125</v>
      </c>
      <c r="X9" s="171">
        <v>0</v>
      </c>
      <c r="Y9" s="171">
        <v>5.2</v>
      </c>
      <c r="Z9" s="171">
        <v>32</v>
      </c>
      <c r="AA9" s="171">
        <v>4</v>
      </c>
      <c r="AB9" s="234">
        <v>9.1</v>
      </c>
      <c r="AS9" s="217" t="s">
        <v>115</v>
      </c>
      <c r="AT9" s="218" t="s">
        <v>46</v>
      </c>
      <c r="AU9" s="218" t="s">
        <v>54</v>
      </c>
      <c r="AV9" s="218" t="s">
        <v>46</v>
      </c>
      <c r="AW9" s="218" t="s">
        <v>44</v>
      </c>
      <c r="AX9" s="218" t="s">
        <v>69</v>
      </c>
    </row>
    <row r="10" spans="2:50" ht="15.75" x14ac:dyDescent="0.25">
      <c r="C10" t="s">
        <v>309</v>
      </c>
      <c r="I10" s="1" t="s">
        <v>163</v>
      </c>
      <c r="S10" t="s">
        <v>369</v>
      </c>
      <c r="V10" s="462"/>
      <c r="W10" s="171"/>
      <c r="X10" s="171"/>
      <c r="Y10" s="171"/>
      <c r="Z10" s="171"/>
      <c r="AA10" s="171"/>
      <c r="AB10" s="234"/>
      <c r="AS10" s="217" t="s">
        <v>113</v>
      </c>
      <c r="AT10" s="218" t="s">
        <v>46</v>
      </c>
      <c r="AU10" s="218" t="s">
        <v>46</v>
      </c>
      <c r="AV10" s="218" t="s">
        <v>46</v>
      </c>
      <c r="AW10" s="218" t="s">
        <v>44</v>
      </c>
      <c r="AX10" s="218" t="s">
        <v>76</v>
      </c>
    </row>
    <row r="11" spans="2:50" ht="15.75" x14ac:dyDescent="0.25">
      <c r="S11" t="s">
        <v>373</v>
      </c>
      <c r="V11" s="462"/>
      <c r="W11" s="171"/>
      <c r="X11" s="171"/>
      <c r="Y11" s="171"/>
      <c r="Z11" s="171"/>
      <c r="AA11" s="171"/>
      <c r="AB11" s="234"/>
      <c r="AS11" s="217" t="s">
        <v>95</v>
      </c>
      <c r="AT11" s="218" t="s">
        <v>58</v>
      </c>
      <c r="AU11" s="218" t="s">
        <v>46</v>
      </c>
      <c r="AV11" s="218" t="s">
        <v>54</v>
      </c>
      <c r="AW11" s="218" t="s">
        <v>60</v>
      </c>
      <c r="AX11" s="218" t="s">
        <v>69</v>
      </c>
    </row>
    <row r="12" spans="2:50" ht="15.75" x14ac:dyDescent="0.25">
      <c r="B12" t="s">
        <v>312</v>
      </c>
      <c r="C12" t="s">
        <v>313</v>
      </c>
      <c r="S12" t="s">
        <v>374</v>
      </c>
      <c r="V12" s="462"/>
      <c r="W12" s="171"/>
      <c r="X12" s="171"/>
      <c r="Y12" s="171"/>
      <c r="Z12" s="171"/>
      <c r="AA12" s="171"/>
      <c r="AB12" s="234"/>
      <c r="AS12" s="217" t="s">
        <v>114</v>
      </c>
      <c r="AT12" s="218" t="s">
        <v>46</v>
      </c>
      <c r="AU12" s="218" t="s">
        <v>46</v>
      </c>
      <c r="AV12" s="218" t="s">
        <v>46</v>
      </c>
      <c r="AW12" s="218" t="s">
        <v>44</v>
      </c>
      <c r="AX12" s="218" t="s">
        <v>76</v>
      </c>
    </row>
    <row r="13" spans="2:50" ht="15.75" x14ac:dyDescent="0.25">
      <c r="I13" s="1" t="s">
        <v>203</v>
      </c>
      <c r="V13" s="462"/>
      <c r="W13" s="171"/>
      <c r="X13" s="171"/>
      <c r="Y13" s="171"/>
      <c r="Z13" s="171"/>
      <c r="AA13" s="171"/>
      <c r="AB13" s="234"/>
      <c r="AS13" s="217" t="s">
        <v>47</v>
      </c>
      <c r="AT13" s="218" t="s">
        <v>45</v>
      </c>
      <c r="AU13" s="218" t="s">
        <v>45</v>
      </c>
      <c r="AV13" s="218" t="s">
        <v>50</v>
      </c>
      <c r="AW13" s="218" t="s">
        <v>44</v>
      </c>
      <c r="AX13" s="218" t="s">
        <v>49</v>
      </c>
    </row>
    <row r="14" spans="2:50" ht="15.75" x14ac:dyDescent="0.25">
      <c r="B14" t="s">
        <v>380</v>
      </c>
      <c r="C14" t="s">
        <v>315</v>
      </c>
      <c r="I14" s="25" t="s">
        <v>245</v>
      </c>
      <c r="K14" s="2">
        <f>'Wasserversorger &amp; Aufbereitung'!G20/7.14+'Wasserversorger &amp; Aufbereitung'!G21/4.35</f>
        <v>6.2721916352747993</v>
      </c>
      <c r="V14" s="462"/>
      <c r="W14" s="171"/>
      <c r="X14" s="171"/>
      <c r="Y14" s="171"/>
      <c r="Z14" s="171"/>
      <c r="AA14" s="171"/>
      <c r="AB14" s="234"/>
      <c r="AS14" s="217" t="s">
        <v>116</v>
      </c>
      <c r="AT14" s="218" t="s">
        <v>46</v>
      </c>
      <c r="AU14" s="218" t="s">
        <v>54</v>
      </c>
      <c r="AV14" s="218" t="s">
        <v>46</v>
      </c>
      <c r="AW14" s="218" t="s">
        <v>44</v>
      </c>
      <c r="AX14" s="218" t="s">
        <v>69</v>
      </c>
    </row>
    <row r="15" spans="2:50" ht="15.75" x14ac:dyDescent="0.25">
      <c r="C15" t="s">
        <v>325</v>
      </c>
      <c r="V15" s="462"/>
      <c r="W15" s="171"/>
      <c r="X15" s="171"/>
      <c r="Y15" s="171"/>
      <c r="Z15" s="171"/>
      <c r="AA15" s="171"/>
      <c r="AB15" s="234"/>
      <c r="AS15" s="217" t="s">
        <v>103</v>
      </c>
      <c r="AT15" s="218" t="s">
        <v>45</v>
      </c>
      <c r="AU15" s="218" t="s">
        <v>61</v>
      </c>
      <c r="AV15" s="218" t="s">
        <v>46</v>
      </c>
      <c r="AW15" s="218" t="s">
        <v>60</v>
      </c>
      <c r="AX15" s="218" t="s">
        <v>43</v>
      </c>
    </row>
    <row r="16" spans="2:50" ht="15.75" x14ac:dyDescent="0.25">
      <c r="C16" t="s">
        <v>326</v>
      </c>
      <c r="V16" s="462"/>
      <c r="W16" s="171"/>
      <c r="X16" s="171"/>
      <c r="Y16" s="171"/>
      <c r="Z16" s="171"/>
      <c r="AA16" s="171"/>
      <c r="AB16" s="234"/>
      <c r="AS16" s="217" t="s">
        <v>82</v>
      </c>
      <c r="AT16" s="218" t="s">
        <v>54</v>
      </c>
      <c r="AU16" s="218" t="s">
        <v>46</v>
      </c>
      <c r="AV16" s="218" t="s">
        <v>53</v>
      </c>
      <c r="AW16" s="218" t="s">
        <v>44</v>
      </c>
      <c r="AX16" s="218" t="s">
        <v>52</v>
      </c>
    </row>
    <row r="17" spans="2:50" ht="15.75" x14ac:dyDescent="0.25">
      <c r="C17" t="s">
        <v>329</v>
      </c>
      <c r="I17" s="245" t="s">
        <v>310</v>
      </c>
      <c r="J17" s="246"/>
      <c r="K17" s="246"/>
      <c r="L17" s="247"/>
      <c r="N17" s="245" t="s">
        <v>379</v>
      </c>
      <c r="O17" s="246"/>
      <c r="P17" s="246"/>
      <c r="Q17" s="246"/>
      <c r="R17" s="247"/>
      <c r="V17" s="462"/>
      <c r="W17" s="171"/>
      <c r="X17" s="171"/>
      <c r="Y17" s="171"/>
      <c r="Z17" s="171"/>
      <c r="AA17" s="171"/>
      <c r="AB17" s="234"/>
      <c r="AS17" s="217" t="s">
        <v>342</v>
      </c>
      <c r="AT17" s="218" t="s">
        <v>61</v>
      </c>
      <c r="AU17" s="218" t="s">
        <v>54</v>
      </c>
      <c r="AV17" s="218" t="s">
        <v>53</v>
      </c>
      <c r="AW17" s="218" t="s">
        <v>44</v>
      </c>
      <c r="AX17" s="218" t="s">
        <v>64</v>
      </c>
    </row>
    <row r="18" spans="2:50" ht="15.75" x14ac:dyDescent="0.25">
      <c r="I18" s="248" t="s">
        <v>9</v>
      </c>
      <c r="J18" s="20" t="s">
        <v>311</v>
      </c>
      <c r="K18" s="20"/>
      <c r="L18" s="249"/>
      <c r="N18" s="248" t="s">
        <v>146</v>
      </c>
      <c r="O18" s="20"/>
      <c r="P18" s="20"/>
      <c r="Q18" s="20"/>
      <c r="R18" s="249"/>
      <c r="V18" s="462"/>
      <c r="W18" s="171"/>
      <c r="X18" s="171"/>
      <c r="Y18" s="171"/>
      <c r="Z18" s="171"/>
      <c r="AA18" s="171"/>
      <c r="AB18" s="234"/>
      <c r="AS18" s="217" t="s">
        <v>55</v>
      </c>
      <c r="AT18" s="218" t="s">
        <v>58</v>
      </c>
      <c r="AU18" s="218" t="s">
        <v>46</v>
      </c>
      <c r="AV18" s="218" t="s">
        <v>57</v>
      </c>
      <c r="AW18" s="218" t="s">
        <v>44</v>
      </c>
      <c r="AX18" s="218" t="s">
        <v>56</v>
      </c>
    </row>
    <row r="19" spans="2:50" ht="15.75" x14ac:dyDescent="0.25">
      <c r="B19" t="s">
        <v>381</v>
      </c>
      <c r="C19" t="s">
        <v>336</v>
      </c>
      <c r="I19" s="250" t="s">
        <v>232</v>
      </c>
      <c r="J19" s="251"/>
      <c r="K19" s="251"/>
      <c r="L19" s="252"/>
      <c r="N19" s="250" t="s">
        <v>124</v>
      </c>
      <c r="O19" s="251"/>
      <c r="P19" s="251"/>
      <c r="Q19" s="251"/>
      <c r="R19" s="252"/>
      <c r="V19" s="462"/>
      <c r="W19" s="171"/>
      <c r="X19" s="171"/>
      <c r="Y19" s="171"/>
      <c r="Z19" s="171"/>
      <c r="AA19" s="171"/>
      <c r="AB19" s="234"/>
      <c r="AS19" s="217" t="s">
        <v>66</v>
      </c>
      <c r="AT19" s="218" t="s">
        <v>61</v>
      </c>
      <c r="AU19" s="218" t="s">
        <v>46</v>
      </c>
      <c r="AV19" s="218" t="s">
        <v>46</v>
      </c>
      <c r="AW19" s="218" t="s">
        <v>60</v>
      </c>
      <c r="AX19" s="218" t="s">
        <v>67</v>
      </c>
    </row>
    <row r="20" spans="2:50" ht="15.75" x14ac:dyDescent="0.25">
      <c r="C20" t="s">
        <v>370</v>
      </c>
      <c r="N20" s="245" t="s">
        <v>399</v>
      </c>
      <c r="O20" s="246"/>
      <c r="P20" s="246"/>
      <c r="Q20" s="246"/>
      <c r="R20" s="247"/>
      <c r="V20" s="462"/>
      <c r="W20" s="171"/>
      <c r="X20" s="171"/>
      <c r="Y20" s="171"/>
      <c r="Z20" s="171"/>
      <c r="AA20" s="171"/>
      <c r="AB20" s="234"/>
      <c r="AS20" s="217" t="s">
        <v>88</v>
      </c>
      <c r="AT20" s="218" t="s">
        <v>45</v>
      </c>
      <c r="AU20" s="218" t="s">
        <v>54</v>
      </c>
      <c r="AV20" s="218" t="s">
        <v>53</v>
      </c>
      <c r="AW20" s="218" t="s">
        <v>60</v>
      </c>
      <c r="AX20" s="218" t="s">
        <v>62</v>
      </c>
    </row>
    <row r="21" spans="2:50" ht="15.75" x14ac:dyDescent="0.25">
      <c r="C21" t="s">
        <v>371</v>
      </c>
      <c r="N21" s="248" t="s">
        <v>400</v>
      </c>
      <c r="O21" s="20"/>
      <c r="P21" s="20"/>
      <c r="Q21" s="20"/>
      <c r="R21" s="249"/>
      <c r="V21" s="462"/>
      <c r="W21" s="171"/>
      <c r="X21" s="171"/>
      <c r="Y21" s="171"/>
      <c r="Z21" s="171"/>
      <c r="AA21" s="171"/>
      <c r="AB21" s="234"/>
      <c r="AS21" s="217" t="s">
        <v>106</v>
      </c>
      <c r="AT21" s="218" t="s">
        <v>75</v>
      </c>
      <c r="AU21" s="218" t="s">
        <v>46</v>
      </c>
      <c r="AV21" s="218" t="s">
        <v>54</v>
      </c>
      <c r="AW21" s="218" t="s">
        <v>60</v>
      </c>
      <c r="AX21" s="218" t="s">
        <v>69</v>
      </c>
    </row>
    <row r="22" spans="2:50" ht="16.5" thickBot="1" x14ac:dyDescent="0.3">
      <c r="C22" t="s">
        <v>372</v>
      </c>
      <c r="N22" s="250" t="s">
        <v>401</v>
      </c>
      <c r="O22" s="251"/>
      <c r="P22" s="251"/>
      <c r="Q22" s="251"/>
      <c r="R22" s="252"/>
      <c r="V22" s="463"/>
      <c r="W22" s="235"/>
      <c r="X22" s="235"/>
      <c r="Y22" s="235"/>
      <c r="Z22" s="235"/>
      <c r="AA22" s="235"/>
      <c r="AB22" s="236"/>
      <c r="AS22" s="217" t="s">
        <v>107</v>
      </c>
      <c r="AT22" s="218" t="s">
        <v>75</v>
      </c>
      <c r="AU22" s="218" t="s">
        <v>46</v>
      </c>
      <c r="AV22" s="218" t="s">
        <v>54</v>
      </c>
      <c r="AW22" s="218" t="s">
        <v>60</v>
      </c>
      <c r="AX22" s="218" t="s">
        <v>69</v>
      </c>
    </row>
    <row r="23" spans="2:50" ht="45" x14ac:dyDescent="0.25">
      <c r="B23" t="s">
        <v>391</v>
      </c>
      <c r="C23" t="s">
        <v>382</v>
      </c>
      <c r="I23" s="141" t="s">
        <v>133</v>
      </c>
      <c r="J23" s="141" t="s">
        <v>134</v>
      </c>
      <c r="K23" s="141" t="s">
        <v>135</v>
      </c>
      <c r="AS23" s="217" t="s">
        <v>111</v>
      </c>
      <c r="AT23" s="218" t="s">
        <v>54</v>
      </c>
      <c r="AU23" s="218" t="s">
        <v>54</v>
      </c>
      <c r="AV23" s="218" t="s">
        <v>53</v>
      </c>
      <c r="AW23" s="218" t="s">
        <v>72</v>
      </c>
      <c r="AX23" s="218" t="s">
        <v>64</v>
      </c>
    </row>
    <row r="24" spans="2:50" x14ac:dyDescent="0.25">
      <c r="C24" t="s">
        <v>386</v>
      </c>
      <c r="I24" s="142" t="s">
        <v>123</v>
      </c>
      <c r="J24" s="142" t="s">
        <v>136</v>
      </c>
      <c r="K24" s="142" t="s">
        <v>137</v>
      </c>
      <c r="AS24" s="217" t="s">
        <v>343</v>
      </c>
      <c r="AT24" s="218" t="s">
        <v>61</v>
      </c>
      <c r="AU24" s="218" t="s">
        <v>54</v>
      </c>
      <c r="AV24" s="218" t="s">
        <v>53</v>
      </c>
      <c r="AW24" s="218" t="s">
        <v>60</v>
      </c>
      <c r="AX24" s="218" t="s">
        <v>59</v>
      </c>
    </row>
    <row r="25" spans="2:50" x14ac:dyDescent="0.25">
      <c r="C25" t="s">
        <v>388</v>
      </c>
      <c r="I25" s="142" t="s">
        <v>138</v>
      </c>
      <c r="J25" s="142" t="s">
        <v>139</v>
      </c>
      <c r="K25" s="142" t="s">
        <v>140</v>
      </c>
      <c r="AS25" s="217" t="s">
        <v>87</v>
      </c>
      <c r="AT25" s="218" t="s">
        <v>45</v>
      </c>
      <c r="AU25" s="218" t="s">
        <v>54</v>
      </c>
      <c r="AV25" s="218" t="s">
        <v>53</v>
      </c>
      <c r="AW25" s="218" t="s">
        <v>60</v>
      </c>
      <c r="AX25" s="218" t="s">
        <v>62</v>
      </c>
    </row>
    <row r="26" spans="2:50" x14ac:dyDescent="0.25">
      <c r="I26" s="142" t="s">
        <v>141</v>
      </c>
      <c r="J26" s="142" t="s">
        <v>142</v>
      </c>
      <c r="K26" s="142" t="s">
        <v>143</v>
      </c>
      <c r="AS26" s="217" t="s">
        <v>93</v>
      </c>
      <c r="AT26" s="218" t="s">
        <v>58</v>
      </c>
      <c r="AU26" s="218" t="s">
        <v>46</v>
      </c>
      <c r="AV26" s="218" t="s">
        <v>46</v>
      </c>
      <c r="AW26" s="218" t="s">
        <v>60</v>
      </c>
      <c r="AX26" s="218" t="s">
        <v>52</v>
      </c>
    </row>
    <row r="27" spans="2:50" x14ac:dyDescent="0.25">
      <c r="B27" t="s">
        <v>440</v>
      </c>
      <c r="C27" t="s">
        <v>418</v>
      </c>
      <c r="AL27" s="123" t="s">
        <v>327</v>
      </c>
      <c r="AM27" s="28"/>
      <c r="AN27" s="28"/>
      <c r="AO27" s="28"/>
      <c r="AP27" s="28"/>
      <c r="AS27" s="217" t="s">
        <v>91</v>
      </c>
      <c r="AT27" s="218" t="s">
        <v>61</v>
      </c>
      <c r="AU27" s="218" t="s">
        <v>54</v>
      </c>
      <c r="AV27" s="218" t="s">
        <v>53</v>
      </c>
      <c r="AW27" s="218" t="s">
        <v>44</v>
      </c>
      <c r="AX27" s="218" t="s">
        <v>64</v>
      </c>
    </row>
    <row r="28" spans="2:50" x14ac:dyDescent="0.25">
      <c r="AL28" s="124"/>
      <c r="AM28" s="125" t="s">
        <v>320</v>
      </c>
      <c r="AN28" s="125"/>
      <c r="AO28" s="125" t="s">
        <v>319</v>
      </c>
      <c r="AP28" s="126">
        <f>10^AP29</f>
        <v>1.2941176470588236</v>
      </c>
      <c r="AS28" s="219" t="s">
        <v>81</v>
      </c>
      <c r="AT28" s="218" t="s">
        <v>45</v>
      </c>
      <c r="AU28" s="218" t="s">
        <v>46</v>
      </c>
      <c r="AV28" s="218" t="s">
        <v>247</v>
      </c>
      <c r="AW28" s="218" t="s">
        <v>44</v>
      </c>
      <c r="AX28" s="220" t="s">
        <v>248</v>
      </c>
    </row>
    <row r="29" spans="2:50" x14ac:dyDescent="0.25">
      <c r="AL29" s="127" t="s">
        <v>316</v>
      </c>
      <c r="AM29" s="128">
        <f>LOG10('Wasserversorger &amp; Aufbereitung'!BK30)-(LOG10('Wasserversorger &amp; Aufbereitung'!BK30)/12)</f>
        <v>0.10264261282360464</v>
      </c>
      <c r="AN29" s="30"/>
      <c r="AO29" s="129">
        <f>'Wasserversorger &amp; Aufbereitung'!BK30</f>
        <v>1.2941176470588236</v>
      </c>
      <c r="AP29" s="130">
        <f>LOG10(AO29)</f>
        <v>0.11197375944393233</v>
      </c>
      <c r="AS29" s="217" t="s">
        <v>97</v>
      </c>
      <c r="AT29" s="218" t="s">
        <v>54</v>
      </c>
      <c r="AU29" s="218" t="s">
        <v>46</v>
      </c>
      <c r="AV29" s="218" t="s">
        <v>53</v>
      </c>
      <c r="AW29" s="218" t="s">
        <v>72</v>
      </c>
      <c r="AX29" s="218" t="s">
        <v>71</v>
      </c>
    </row>
    <row r="30" spans="2:50" ht="19.5" thickBot="1" x14ac:dyDescent="0.35">
      <c r="I30" s="81" t="s">
        <v>297</v>
      </c>
      <c r="W30" s="81" t="s">
        <v>291</v>
      </c>
      <c r="X30" s="72"/>
      <c r="AA30" s="81" t="s">
        <v>296</v>
      </c>
      <c r="AL30" s="127"/>
      <c r="AM30" s="30"/>
      <c r="AN30" s="30"/>
      <c r="AO30" s="30"/>
      <c r="AP30" s="130"/>
      <c r="AS30" s="217" t="s">
        <v>101</v>
      </c>
      <c r="AT30" s="218" t="s">
        <v>45</v>
      </c>
      <c r="AU30" s="218" t="s">
        <v>61</v>
      </c>
      <c r="AV30" s="218" t="s">
        <v>46</v>
      </c>
      <c r="AW30" s="218" t="s">
        <v>60</v>
      </c>
      <c r="AX30" s="218" t="s">
        <v>43</v>
      </c>
    </row>
    <row r="31" spans="2:50" ht="18" x14ac:dyDescent="0.25">
      <c r="I31" s="8" t="s">
        <v>158</v>
      </c>
      <c r="J31" s="9" t="s">
        <v>147</v>
      </c>
      <c r="K31" s="9" t="s">
        <v>148</v>
      </c>
      <c r="L31" s="9" t="s">
        <v>149</v>
      </c>
      <c r="M31" s="22" t="s">
        <v>150</v>
      </c>
      <c r="N31" s="9" t="s">
        <v>151</v>
      </c>
      <c r="O31" s="9" t="s">
        <v>152</v>
      </c>
      <c r="P31" s="9" t="s">
        <v>153</v>
      </c>
      <c r="Q31" s="9" t="s">
        <v>154</v>
      </c>
      <c r="R31" s="9" t="s">
        <v>155</v>
      </c>
      <c r="S31" s="9" t="s">
        <v>156</v>
      </c>
      <c r="T31" s="10" t="s">
        <v>157</v>
      </c>
      <c r="W31" s="73" t="s">
        <v>293</v>
      </c>
      <c r="X31" s="74" t="s">
        <v>292</v>
      </c>
      <c r="AA31" s="8" t="s">
        <v>159</v>
      </c>
      <c r="AB31" s="9" t="s">
        <v>160</v>
      </c>
      <c r="AC31" s="9" t="s">
        <v>147</v>
      </c>
      <c r="AD31" s="9" t="s">
        <v>148</v>
      </c>
      <c r="AE31" s="22" t="s">
        <v>150</v>
      </c>
      <c r="AF31" s="9" t="s">
        <v>153</v>
      </c>
      <c r="AG31" s="9" t="s">
        <v>155</v>
      </c>
      <c r="AH31" s="9" t="s">
        <v>156</v>
      </c>
      <c r="AI31" s="10" t="s">
        <v>157</v>
      </c>
      <c r="AL31" s="127" t="s">
        <v>317</v>
      </c>
      <c r="AM31" s="30" t="s">
        <v>318</v>
      </c>
      <c r="AN31" s="30" t="s">
        <v>317</v>
      </c>
      <c r="AO31" s="30"/>
      <c r="AP31" s="130"/>
      <c r="AS31" s="217" t="s">
        <v>90</v>
      </c>
      <c r="AT31" s="218" t="s">
        <v>61</v>
      </c>
      <c r="AU31" s="218" t="s">
        <v>54</v>
      </c>
      <c r="AV31" s="218" t="s">
        <v>53</v>
      </c>
      <c r="AW31" s="218" t="s">
        <v>44</v>
      </c>
      <c r="AX31" s="218" t="s">
        <v>64</v>
      </c>
    </row>
    <row r="32" spans="2:50" ht="15.75" thickBot="1" x14ac:dyDescent="0.3">
      <c r="I32" s="11">
        <v>1</v>
      </c>
      <c r="J32" s="5">
        <v>1.0074000000000001</v>
      </c>
      <c r="K32" s="5">
        <v>1.0067999999999999</v>
      </c>
      <c r="L32" s="5">
        <v>1.006</v>
      </c>
      <c r="M32" s="23">
        <v>1.0051000000000001</v>
      </c>
      <c r="N32" s="5">
        <v>1.0038</v>
      </c>
      <c r="O32" s="5">
        <v>1.0022</v>
      </c>
      <c r="P32" s="5">
        <v>0.99860000000000004</v>
      </c>
      <c r="Q32" s="5">
        <v>0.99439999999999995</v>
      </c>
      <c r="R32" s="5">
        <v>0.98950000000000005</v>
      </c>
      <c r="S32" s="5">
        <v>0.97789999999999999</v>
      </c>
      <c r="T32" s="12">
        <v>0.96450000000000002</v>
      </c>
      <c r="W32" s="75"/>
      <c r="X32" s="76"/>
      <c r="AA32" s="11">
        <v>1</v>
      </c>
      <c r="AB32" s="5">
        <v>1.0047999999999999</v>
      </c>
      <c r="AC32" s="5">
        <v>1.0052000000000001</v>
      </c>
      <c r="AD32" s="5">
        <v>1.0047999999999999</v>
      </c>
      <c r="AE32" s="23">
        <v>1.0032000000000001</v>
      </c>
      <c r="AF32" s="5">
        <v>0.997</v>
      </c>
      <c r="AG32" s="5">
        <v>0.98809999999999998</v>
      </c>
      <c r="AH32" s="5">
        <v>0.9768</v>
      </c>
      <c r="AI32" s="12">
        <v>0.96360000000000001</v>
      </c>
      <c r="AL32" s="127"/>
      <c r="AM32" s="131">
        <f>AM29+1</f>
        <v>1.1026426128236047</v>
      </c>
      <c r="AN32" s="30">
        <v>20</v>
      </c>
      <c r="AO32" s="132">
        <v>0.1</v>
      </c>
      <c r="AP32" s="130">
        <f>LOG10(AO32)</f>
        <v>-1</v>
      </c>
      <c r="AS32" s="217" t="s">
        <v>84</v>
      </c>
      <c r="AT32" s="218" t="s">
        <v>61</v>
      </c>
      <c r="AU32" s="218" t="s">
        <v>54</v>
      </c>
      <c r="AV32" s="218" t="s">
        <v>53</v>
      </c>
      <c r="AW32" s="218" t="s">
        <v>60</v>
      </c>
      <c r="AX32" s="218" t="s">
        <v>59</v>
      </c>
    </row>
    <row r="33" spans="9:50" ht="15.75" thickBot="1" x14ac:dyDescent="0.3">
      <c r="I33" s="11">
        <v>2</v>
      </c>
      <c r="J33" s="5">
        <v>1.0146999999999999</v>
      </c>
      <c r="K33" s="5">
        <v>1.0138</v>
      </c>
      <c r="L33" s="5">
        <v>1.0128999999999999</v>
      </c>
      <c r="M33" s="23">
        <v>1.0118</v>
      </c>
      <c r="N33" s="5">
        <v>1.0104</v>
      </c>
      <c r="O33" s="5">
        <v>1.0086999999999999</v>
      </c>
      <c r="P33" s="5">
        <v>1.0049999999999999</v>
      </c>
      <c r="Q33" s="5">
        <v>1.0005999999999999</v>
      </c>
      <c r="R33" s="5">
        <v>0.99560000000000004</v>
      </c>
      <c r="S33" s="5">
        <v>0.9839</v>
      </c>
      <c r="T33" s="12">
        <v>0.97050000000000003</v>
      </c>
      <c r="W33" s="77">
        <v>1</v>
      </c>
      <c r="X33" s="78">
        <v>1.0038</v>
      </c>
      <c r="AA33" s="11">
        <v>2</v>
      </c>
      <c r="AB33" s="5">
        <v>1.0104</v>
      </c>
      <c r="AC33" s="5">
        <v>1.0105999999999999</v>
      </c>
      <c r="AD33" s="5">
        <v>1.01</v>
      </c>
      <c r="AE33" s="23">
        <v>1.0082</v>
      </c>
      <c r="AF33" s="5">
        <v>1.0019</v>
      </c>
      <c r="AG33" s="5">
        <v>0.99299999999999999</v>
      </c>
      <c r="AH33" s="5">
        <v>0.9819</v>
      </c>
      <c r="AI33" s="12">
        <v>0.96879999999999999</v>
      </c>
      <c r="AL33" s="133">
        <f>AM32-1</f>
        <v>0.10264261282360465</v>
      </c>
      <c r="AM33" s="128">
        <v>0</v>
      </c>
      <c r="AN33" s="30">
        <v>20</v>
      </c>
      <c r="AO33" s="134">
        <f>10^AP33</f>
        <v>0.14677992676220694</v>
      </c>
      <c r="AP33" s="135">
        <f>$AP$38-(($AP$44-$AP$38)*5/6)</f>
        <v>-0.83333333333333337</v>
      </c>
      <c r="AS33" s="217" t="s">
        <v>96</v>
      </c>
      <c r="AT33" s="218" t="s">
        <v>58</v>
      </c>
      <c r="AU33" s="218" t="s">
        <v>46</v>
      </c>
      <c r="AV33" s="218" t="s">
        <v>54</v>
      </c>
      <c r="AW33" s="218" t="s">
        <v>60</v>
      </c>
      <c r="AX33" s="218" t="s">
        <v>69</v>
      </c>
    </row>
    <row r="34" spans="9:50" ht="15.75" thickBot="1" x14ac:dyDescent="0.3">
      <c r="I34" s="11">
        <v>3</v>
      </c>
      <c r="J34" s="5">
        <v>1.0219</v>
      </c>
      <c r="K34" s="5">
        <v>1.0206</v>
      </c>
      <c r="L34" s="5">
        <v>1.0197000000000001</v>
      </c>
      <c r="M34" s="23">
        <v>1.0184</v>
      </c>
      <c r="N34" s="5">
        <v>1.0168999999999999</v>
      </c>
      <c r="O34" s="5">
        <v>1.0152000000000001</v>
      </c>
      <c r="P34" s="5">
        <v>1.0113000000000001</v>
      </c>
      <c r="Q34" s="5">
        <v>1.0066999999999999</v>
      </c>
      <c r="R34" s="5">
        <v>1.0017</v>
      </c>
      <c r="S34" s="5">
        <v>0.99</v>
      </c>
      <c r="T34" s="12">
        <v>0.97660000000000002</v>
      </c>
      <c r="W34" s="77">
        <v>2</v>
      </c>
      <c r="X34" s="78">
        <v>1.0092000000000001</v>
      </c>
      <c r="AA34" s="11">
        <v>4</v>
      </c>
      <c r="AB34" s="5">
        <v>1.0213000000000001</v>
      </c>
      <c r="AC34" s="5">
        <v>1.0213000000000001</v>
      </c>
      <c r="AD34" s="5">
        <v>1.0202</v>
      </c>
      <c r="AE34" s="23">
        <v>1.0181</v>
      </c>
      <c r="AF34" s="5">
        <v>1.0116000000000001</v>
      </c>
      <c r="AG34" s="5">
        <v>1.0025999999999999</v>
      </c>
      <c r="AH34" s="5">
        <v>0.9919</v>
      </c>
      <c r="AI34" s="12">
        <v>0.97909999999999997</v>
      </c>
      <c r="AL34" s="127"/>
      <c r="AM34" s="128">
        <f>AM35-AM32</f>
        <v>0.89735738717639535</v>
      </c>
      <c r="AN34" s="30">
        <v>20</v>
      </c>
      <c r="AO34" s="134">
        <f>10^AP34</f>
        <v>0.21544346900318836</v>
      </c>
      <c r="AP34" s="135">
        <f>$AP$38-(($AP$44-$AP$38)*4/6)</f>
        <v>-0.66666666666666663</v>
      </c>
      <c r="AS34" s="217" t="s">
        <v>85</v>
      </c>
      <c r="AT34" s="218" t="s">
        <v>45</v>
      </c>
      <c r="AU34" s="218" t="s">
        <v>54</v>
      </c>
      <c r="AV34" s="218" t="s">
        <v>53</v>
      </c>
      <c r="AW34" s="218" t="s">
        <v>60</v>
      </c>
      <c r="AX34" s="218" t="s">
        <v>62</v>
      </c>
    </row>
    <row r="35" spans="9:50" ht="15.75" thickBot="1" x14ac:dyDescent="0.3">
      <c r="I35" s="11">
        <v>4</v>
      </c>
      <c r="J35" s="5">
        <v>1.0290999999999999</v>
      </c>
      <c r="K35" s="5">
        <v>1.0275000000000001</v>
      </c>
      <c r="L35" s="5">
        <v>1.0264</v>
      </c>
      <c r="M35" s="23">
        <v>1.0249999999999999</v>
      </c>
      <c r="N35" s="5">
        <v>1.0234000000000001</v>
      </c>
      <c r="O35" s="5">
        <v>1.0216000000000001</v>
      </c>
      <c r="P35" s="5">
        <v>1.0176000000000001</v>
      </c>
      <c r="Q35" s="5">
        <v>1.0128999999999999</v>
      </c>
      <c r="R35" s="5">
        <v>1.0078</v>
      </c>
      <c r="S35" s="5">
        <v>0.99609999999999999</v>
      </c>
      <c r="T35" s="12">
        <v>0.98270000000000002</v>
      </c>
      <c r="W35" s="77">
        <v>3</v>
      </c>
      <c r="X35" s="78">
        <v>1.0145999999999999</v>
      </c>
      <c r="AA35" s="11">
        <v>6</v>
      </c>
      <c r="AB35" s="5">
        <v>1.0321</v>
      </c>
      <c r="AC35" s="5">
        <v>1.0319</v>
      </c>
      <c r="AD35" s="5">
        <v>1.0303</v>
      </c>
      <c r="AE35" s="23">
        <v>1.0279</v>
      </c>
      <c r="AF35" s="5">
        <v>1.0210999999999999</v>
      </c>
      <c r="AG35" s="5">
        <v>1.0121</v>
      </c>
      <c r="AH35" s="5">
        <v>1.0016</v>
      </c>
      <c r="AI35" s="12">
        <v>0.98919999999999997</v>
      </c>
      <c r="AL35" s="127"/>
      <c r="AM35" s="128">
        <v>2</v>
      </c>
      <c r="AN35" s="30">
        <v>20</v>
      </c>
      <c r="AO35" s="134">
        <f>10^AP35</f>
        <v>0.31622776601683794</v>
      </c>
      <c r="AP35" s="135">
        <f>$AP$38-(($AP$44-$AP$38)*3/6)</f>
        <v>-0.5</v>
      </c>
      <c r="AS35" s="219" t="s">
        <v>80</v>
      </c>
      <c r="AT35" s="218" t="s">
        <v>45</v>
      </c>
      <c r="AU35" s="218" t="s">
        <v>46</v>
      </c>
      <c r="AV35" s="218" t="s">
        <v>247</v>
      </c>
      <c r="AW35" s="218" t="s">
        <v>44</v>
      </c>
      <c r="AX35" s="220" t="s">
        <v>248</v>
      </c>
    </row>
    <row r="36" spans="9:50" ht="15.75" thickBot="1" x14ac:dyDescent="0.3">
      <c r="I36" s="11">
        <v>5</v>
      </c>
      <c r="J36" s="5">
        <v>1.0364</v>
      </c>
      <c r="K36" s="5">
        <v>1.0344</v>
      </c>
      <c r="L36" s="5">
        <v>1.0331999999999999</v>
      </c>
      <c r="M36" s="23">
        <v>1.0317000000000001</v>
      </c>
      <c r="N36" s="5">
        <v>1.03</v>
      </c>
      <c r="O36" s="5">
        <v>1.0281</v>
      </c>
      <c r="P36" s="5">
        <v>1.024</v>
      </c>
      <c r="Q36" s="5">
        <v>1.0192000000000001</v>
      </c>
      <c r="R36" s="5">
        <v>1.014</v>
      </c>
      <c r="S36" s="5">
        <v>1.0022</v>
      </c>
      <c r="T36" s="12">
        <v>0.98880000000000001</v>
      </c>
      <c r="W36" s="77">
        <v>4</v>
      </c>
      <c r="X36" s="78">
        <v>1.02</v>
      </c>
      <c r="AA36" s="11">
        <v>8</v>
      </c>
      <c r="AB36" s="5">
        <v>1.0427999999999999</v>
      </c>
      <c r="AC36" s="5">
        <v>1.0423</v>
      </c>
      <c r="AD36" s="5">
        <v>1.0403</v>
      </c>
      <c r="AE36" s="23">
        <v>1.0376000000000001</v>
      </c>
      <c r="AF36" s="5">
        <v>1.0305</v>
      </c>
      <c r="AG36" s="5">
        <v>1.0215000000000001</v>
      </c>
      <c r="AH36" s="5">
        <v>1.0111000000000001</v>
      </c>
      <c r="AI36" s="12">
        <v>0.99919999999999998</v>
      </c>
      <c r="AL36" s="127"/>
      <c r="AM36" s="30"/>
      <c r="AN36" s="30">
        <v>20</v>
      </c>
      <c r="AO36" s="134">
        <f>10^AP36</f>
        <v>0.46415888336127786</v>
      </c>
      <c r="AP36" s="135">
        <f>$AP$38-(($AP$44-$AP$38)*2/6)</f>
        <v>-0.33333333333333331</v>
      </c>
      <c r="AS36" s="217" t="s">
        <v>110</v>
      </c>
      <c r="AT36" s="218" t="s">
        <v>54</v>
      </c>
      <c r="AU36" s="218" t="s">
        <v>54</v>
      </c>
      <c r="AV36" s="218" t="s">
        <v>53</v>
      </c>
      <c r="AW36" s="218" t="s">
        <v>72</v>
      </c>
      <c r="AX36" s="218" t="s">
        <v>64</v>
      </c>
    </row>
    <row r="37" spans="9:50" ht="15.75" thickBot="1" x14ac:dyDescent="0.3">
      <c r="I37" s="11">
        <v>6</v>
      </c>
      <c r="J37" s="5">
        <v>1.0437000000000001</v>
      </c>
      <c r="K37" s="5">
        <v>1.0414000000000001</v>
      </c>
      <c r="L37" s="5">
        <v>1.04</v>
      </c>
      <c r="M37" s="23">
        <v>1.0385</v>
      </c>
      <c r="N37" s="5">
        <v>1.0367</v>
      </c>
      <c r="O37" s="5">
        <v>1.0347</v>
      </c>
      <c r="P37" s="5">
        <v>1.0305</v>
      </c>
      <c r="Q37" s="5">
        <v>1.0256000000000001</v>
      </c>
      <c r="R37" s="5">
        <v>1.0203</v>
      </c>
      <c r="S37" s="5">
        <v>1.0084</v>
      </c>
      <c r="T37" s="12">
        <v>1</v>
      </c>
      <c r="W37" s="77">
        <v>5</v>
      </c>
      <c r="X37" s="78">
        <v>1.0255000000000001</v>
      </c>
      <c r="AA37" s="11">
        <v>10</v>
      </c>
      <c r="AB37" s="5">
        <v>1.0536000000000001</v>
      </c>
      <c r="AC37" s="5">
        <v>1.0528</v>
      </c>
      <c r="AD37" s="5">
        <v>1.0504</v>
      </c>
      <c r="AE37" s="23">
        <v>1.0474000000000001</v>
      </c>
      <c r="AF37" s="5">
        <v>1.04</v>
      </c>
      <c r="AG37" s="5">
        <v>1.0309999999999999</v>
      </c>
      <c r="AH37" s="5">
        <v>1.0206</v>
      </c>
      <c r="AI37" s="12">
        <v>1.0089999999999999</v>
      </c>
      <c r="AL37" s="127"/>
      <c r="AM37" s="30"/>
      <c r="AN37" s="30">
        <v>20</v>
      </c>
      <c r="AO37" s="134">
        <f>10^AP37</f>
        <v>0.68129206905796125</v>
      </c>
      <c r="AP37" s="135">
        <f>$AP$38-(($AP$44-$AP$38)*1/6)</f>
        <v>-0.16666666666666666</v>
      </c>
      <c r="AS37" s="217" t="s">
        <v>92</v>
      </c>
      <c r="AT37" s="218" t="s">
        <v>58</v>
      </c>
      <c r="AU37" s="218" t="s">
        <v>46</v>
      </c>
      <c r="AV37" s="218" t="s">
        <v>46</v>
      </c>
      <c r="AW37" s="218" t="s">
        <v>60</v>
      </c>
      <c r="AX37" s="218" t="s">
        <v>52</v>
      </c>
    </row>
    <row r="38" spans="9:50" ht="15.75" thickBot="1" x14ac:dyDescent="0.3">
      <c r="I38" s="11">
        <v>7</v>
      </c>
      <c r="J38" s="5">
        <v>1.0510999999999999</v>
      </c>
      <c r="K38" s="5">
        <v>1.0485</v>
      </c>
      <c r="L38" s="5">
        <v>1.0468999999999999</v>
      </c>
      <c r="M38" s="23">
        <v>1.0452999999999999</v>
      </c>
      <c r="N38" s="5">
        <v>1.0434000000000001</v>
      </c>
      <c r="O38" s="5">
        <v>1.0414000000000001</v>
      </c>
      <c r="P38" s="5">
        <v>1.0370999999999999</v>
      </c>
      <c r="Q38" s="5">
        <v>1.0321</v>
      </c>
      <c r="R38" s="5">
        <v>1.0266</v>
      </c>
      <c r="S38" s="5">
        <v>1.0145999999999999</v>
      </c>
      <c r="T38" s="12">
        <v>1.0013000000000001</v>
      </c>
      <c r="W38" s="77">
        <v>6</v>
      </c>
      <c r="X38" s="78">
        <v>1.0308999999999999</v>
      </c>
      <c r="AA38" s="11">
        <v>12</v>
      </c>
      <c r="AB38" s="5">
        <v>1.0645</v>
      </c>
      <c r="AC38" s="5">
        <v>1.0633999999999999</v>
      </c>
      <c r="AD38" s="5">
        <v>1.0607</v>
      </c>
      <c r="AE38" s="23">
        <v>1.0573999999999999</v>
      </c>
      <c r="AF38" s="5">
        <v>1.0497000000000001</v>
      </c>
      <c r="AG38" s="5">
        <v>1.0406</v>
      </c>
      <c r="AH38" s="5">
        <v>1.0302</v>
      </c>
      <c r="AI38" s="12">
        <v>1.0187999999999999</v>
      </c>
      <c r="AL38" s="127"/>
      <c r="AM38" s="30"/>
      <c r="AN38" s="30">
        <v>20</v>
      </c>
      <c r="AO38" s="136">
        <v>1</v>
      </c>
      <c r="AP38" s="130">
        <f>LOG10(AO38)</f>
        <v>0</v>
      </c>
      <c r="AS38" s="217" t="s">
        <v>98</v>
      </c>
      <c r="AT38" s="218" t="s">
        <v>54</v>
      </c>
      <c r="AU38" s="218" t="s">
        <v>46</v>
      </c>
      <c r="AV38" s="218" t="s">
        <v>53</v>
      </c>
      <c r="AW38" s="218" t="s">
        <v>72</v>
      </c>
      <c r="AX38" s="218" t="s">
        <v>71</v>
      </c>
    </row>
    <row r="39" spans="9:50" ht="15.75" thickBot="1" x14ac:dyDescent="0.3">
      <c r="I39" s="11">
        <v>8</v>
      </c>
      <c r="J39" s="5">
        <v>1.0585</v>
      </c>
      <c r="K39" s="5">
        <v>1.0556000000000001</v>
      </c>
      <c r="L39" s="5">
        <v>1.0539000000000001</v>
      </c>
      <c r="M39" s="23">
        <v>1.0522</v>
      </c>
      <c r="N39" s="5">
        <v>1.0502</v>
      </c>
      <c r="O39" s="5">
        <v>1.0481</v>
      </c>
      <c r="P39" s="5">
        <v>1.0437000000000001</v>
      </c>
      <c r="Q39" s="5">
        <v>1.0386</v>
      </c>
      <c r="R39" s="5">
        <v>1.0329999999999999</v>
      </c>
      <c r="S39" s="5">
        <v>1.0208999999999999</v>
      </c>
      <c r="T39" s="12">
        <v>1.0076000000000001</v>
      </c>
      <c r="W39" s="77">
        <v>7</v>
      </c>
      <c r="X39" s="78">
        <v>1.0365</v>
      </c>
      <c r="AA39" s="11">
        <v>14</v>
      </c>
      <c r="AB39" s="5">
        <v>1.0753999999999999</v>
      </c>
      <c r="AC39" s="5">
        <v>1.0741000000000001</v>
      </c>
      <c r="AD39" s="5">
        <v>1.0710999999999999</v>
      </c>
      <c r="AE39" s="23">
        <v>1.0674999999999999</v>
      </c>
      <c r="AF39" s="5">
        <v>1.0593999999999999</v>
      </c>
      <c r="AG39" s="5">
        <v>1.0502</v>
      </c>
      <c r="AH39" s="5">
        <v>1.0398000000000001</v>
      </c>
      <c r="AI39" s="12">
        <v>1.0286</v>
      </c>
      <c r="AL39" s="127"/>
      <c r="AM39" s="30"/>
      <c r="AN39" s="30">
        <v>20</v>
      </c>
      <c r="AO39" s="129">
        <f>10^AP39</f>
        <v>1.4677992676220697</v>
      </c>
      <c r="AP39" s="135">
        <f>$AP$38+(($AP$44-$AP$38)*1/6)</f>
        <v>0.16666666666666666</v>
      </c>
      <c r="AS39" s="217" t="s">
        <v>51</v>
      </c>
      <c r="AT39" s="218" t="s">
        <v>54</v>
      </c>
      <c r="AU39" s="218" t="s">
        <v>46</v>
      </c>
      <c r="AV39" s="218" t="s">
        <v>53</v>
      </c>
      <c r="AW39" s="218" t="s">
        <v>44</v>
      </c>
      <c r="AX39" s="218" t="s">
        <v>52</v>
      </c>
    </row>
    <row r="40" spans="9:50" ht="15.75" thickBot="1" x14ac:dyDescent="0.3">
      <c r="I40" s="11">
        <v>9</v>
      </c>
      <c r="J40" s="5">
        <v>1.0660000000000001</v>
      </c>
      <c r="K40" s="5">
        <v>1.0628</v>
      </c>
      <c r="L40" s="5">
        <v>1.0609999999999999</v>
      </c>
      <c r="M40" s="23">
        <v>1.0590999999999999</v>
      </c>
      <c r="N40" s="5">
        <v>1.0570999999999999</v>
      </c>
      <c r="O40" s="5">
        <v>1.0548999999999999</v>
      </c>
      <c r="P40" s="5">
        <v>1.0503</v>
      </c>
      <c r="Q40" s="5">
        <v>1.0450999999999999</v>
      </c>
      <c r="R40" s="5">
        <v>1.0395000000000001</v>
      </c>
      <c r="S40" s="5">
        <v>1.0273000000000001</v>
      </c>
      <c r="T40" s="12">
        <v>1.014</v>
      </c>
      <c r="W40" s="77">
        <v>8</v>
      </c>
      <c r="X40" s="78">
        <v>1.042</v>
      </c>
      <c r="AA40" s="11">
        <v>16</v>
      </c>
      <c r="AB40" s="5">
        <v>1.0864</v>
      </c>
      <c r="AC40" s="5">
        <v>1.0849</v>
      </c>
      <c r="AD40" s="5">
        <v>1.0814999999999999</v>
      </c>
      <c r="AE40" s="23">
        <v>1.0775999999999999</v>
      </c>
      <c r="AF40" s="5">
        <v>1.0691999999999999</v>
      </c>
      <c r="AG40" s="5">
        <v>1.0598000000000001</v>
      </c>
      <c r="AH40" s="5">
        <v>1.0494000000000001</v>
      </c>
      <c r="AI40" s="12">
        <v>1.0383</v>
      </c>
      <c r="AL40" s="127"/>
      <c r="AM40" s="30"/>
      <c r="AN40" s="30">
        <v>20</v>
      </c>
      <c r="AO40" s="129">
        <f>10^AP40</f>
        <v>2.1544346900318838</v>
      </c>
      <c r="AP40" s="135">
        <f>$AP$38+(($AP$44-$AP$38)*2/6)</f>
        <v>0.33333333333333331</v>
      </c>
      <c r="AS40" s="217" t="s">
        <v>77</v>
      </c>
      <c r="AT40" s="218" t="s">
        <v>54</v>
      </c>
      <c r="AU40" s="218" t="s">
        <v>54</v>
      </c>
      <c r="AV40" s="218" t="s">
        <v>53</v>
      </c>
      <c r="AW40" s="218" t="s">
        <v>60</v>
      </c>
      <c r="AX40" s="218" t="s">
        <v>78</v>
      </c>
    </row>
    <row r="41" spans="9:50" ht="15.75" thickBot="1" x14ac:dyDescent="0.3">
      <c r="I41" s="11">
        <v>10</v>
      </c>
      <c r="J41" s="5">
        <v>1.0734999999999999</v>
      </c>
      <c r="K41" s="5">
        <v>1.07</v>
      </c>
      <c r="L41" s="5">
        <v>1.0681</v>
      </c>
      <c r="M41" s="23">
        <v>1.0661</v>
      </c>
      <c r="N41" s="5">
        <v>1.0640000000000001</v>
      </c>
      <c r="O41" s="5">
        <v>1.0617000000000001</v>
      </c>
      <c r="P41" s="5">
        <v>1.0569999999999999</v>
      </c>
      <c r="Q41" s="5">
        <v>1.0517000000000001</v>
      </c>
      <c r="R41" s="5">
        <v>1.046</v>
      </c>
      <c r="S41" s="5">
        <v>1.0338000000000001</v>
      </c>
      <c r="T41" s="12">
        <v>1.0204</v>
      </c>
      <c r="W41" s="77">
        <v>9</v>
      </c>
      <c r="X41" s="78">
        <v>1.0476000000000001</v>
      </c>
      <c r="AA41" s="11">
        <v>18</v>
      </c>
      <c r="AB41" s="5">
        <v>1.0974999999999999</v>
      </c>
      <c r="AC41" s="5">
        <v>1.0958000000000001</v>
      </c>
      <c r="AD41" s="5">
        <v>1.0920000000000001</v>
      </c>
      <c r="AE41" s="23">
        <v>1.0878000000000001</v>
      </c>
      <c r="AF41" s="5">
        <v>1.079</v>
      </c>
      <c r="AG41" s="5">
        <v>1.0693999999999999</v>
      </c>
      <c r="AH41" s="5">
        <v>1.0589999999999999</v>
      </c>
      <c r="AI41" s="12">
        <v>1.0479000000000001</v>
      </c>
      <c r="AL41" s="127"/>
      <c r="AM41" s="30"/>
      <c r="AN41" s="30">
        <v>20</v>
      </c>
      <c r="AO41" s="129">
        <f>10^AP41</f>
        <v>3.1622776601683795</v>
      </c>
      <c r="AP41" s="135">
        <f>$AP$38+(($AP$44-$AP$38)*3/6)</f>
        <v>0.5</v>
      </c>
      <c r="AS41" s="217" t="s">
        <v>86</v>
      </c>
      <c r="AT41" s="218" t="s">
        <v>45</v>
      </c>
      <c r="AU41" s="218" t="s">
        <v>54</v>
      </c>
      <c r="AV41" s="218" t="s">
        <v>53</v>
      </c>
      <c r="AW41" s="218" t="s">
        <v>60</v>
      </c>
      <c r="AX41" s="218" t="s">
        <v>62</v>
      </c>
    </row>
    <row r="42" spans="9:50" ht="15.75" thickBot="1" x14ac:dyDescent="0.3">
      <c r="I42" s="11">
        <v>12</v>
      </c>
      <c r="J42" s="5">
        <v>1.0886</v>
      </c>
      <c r="K42" s="5">
        <v>1.0846</v>
      </c>
      <c r="L42" s="5">
        <v>1.0825</v>
      </c>
      <c r="M42" s="23">
        <v>1.0802</v>
      </c>
      <c r="N42" s="5">
        <v>1.0780000000000001</v>
      </c>
      <c r="O42" s="5">
        <v>1.0755999999999999</v>
      </c>
      <c r="P42" s="5">
        <v>1.0705</v>
      </c>
      <c r="Q42" s="5">
        <v>1.0650999999999999</v>
      </c>
      <c r="R42" s="5">
        <v>1.0592999999999999</v>
      </c>
      <c r="S42" s="5">
        <v>1.0468999999999999</v>
      </c>
      <c r="T42" s="12">
        <v>1.0335000000000001</v>
      </c>
      <c r="W42" s="77">
        <v>10</v>
      </c>
      <c r="X42" s="78">
        <v>1.0531999999999999</v>
      </c>
      <c r="AA42" s="11">
        <v>20</v>
      </c>
      <c r="AB42" s="5">
        <v>1.1087</v>
      </c>
      <c r="AC42" s="5">
        <v>1.1067</v>
      </c>
      <c r="AD42" s="5">
        <v>1.1025</v>
      </c>
      <c r="AE42" s="23">
        <v>1.0980000000000001</v>
      </c>
      <c r="AF42" s="5">
        <v>1.0888</v>
      </c>
      <c r="AG42" s="5">
        <v>1.079</v>
      </c>
      <c r="AH42" s="5">
        <v>1.0685</v>
      </c>
      <c r="AI42" s="12">
        <v>1.0573999999999999</v>
      </c>
      <c r="AL42" s="127"/>
      <c r="AM42" s="30"/>
      <c r="AN42" s="30">
        <v>20</v>
      </c>
      <c r="AO42" s="129">
        <f>10^AP42</f>
        <v>4.6415888336127793</v>
      </c>
      <c r="AP42" s="135">
        <f>$AP$38+(($AP$44-$AP$38)*4/6)</f>
        <v>0.66666666666666663</v>
      </c>
      <c r="AS42" s="217" t="s">
        <v>94</v>
      </c>
      <c r="AT42" s="218" t="s">
        <v>58</v>
      </c>
      <c r="AU42" s="218" t="s">
        <v>46</v>
      </c>
      <c r="AV42" s="218" t="s">
        <v>54</v>
      </c>
      <c r="AW42" s="218" t="s">
        <v>60</v>
      </c>
      <c r="AX42" s="218" t="s">
        <v>69</v>
      </c>
    </row>
    <row r="43" spans="9:50" ht="15.75" thickBot="1" x14ac:dyDescent="0.3">
      <c r="I43" s="11">
        <v>14</v>
      </c>
      <c r="J43" s="5">
        <v>1.1039000000000001</v>
      </c>
      <c r="K43" s="5">
        <v>1.0993999999999999</v>
      </c>
      <c r="L43" s="5">
        <v>1.0971</v>
      </c>
      <c r="M43" s="23">
        <v>1.0947</v>
      </c>
      <c r="N43" s="5">
        <v>1.0922000000000001</v>
      </c>
      <c r="O43" s="5">
        <v>1.0896999999999999</v>
      </c>
      <c r="P43" s="5">
        <v>1.0844</v>
      </c>
      <c r="Q43" s="5">
        <v>1.0788</v>
      </c>
      <c r="R43" s="5">
        <v>1.0729</v>
      </c>
      <c r="S43" s="5">
        <v>1.0603</v>
      </c>
      <c r="T43" s="12">
        <v>1.0468999999999999</v>
      </c>
      <c r="W43" s="77">
        <v>11</v>
      </c>
      <c r="X43" s="78">
        <v>1.0589999999999999</v>
      </c>
      <c r="AA43" s="11">
        <v>22</v>
      </c>
      <c r="AB43" s="5">
        <v>1.1200000000000001</v>
      </c>
      <c r="AC43" s="5">
        <v>1.1176999999999999</v>
      </c>
      <c r="AD43" s="5">
        <v>1.1131</v>
      </c>
      <c r="AE43" s="23">
        <v>1.1083000000000001</v>
      </c>
      <c r="AF43" s="5">
        <v>1.0986</v>
      </c>
      <c r="AG43" s="5">
        <v>1.0886</v>
      </c>
      <c r="AH43" s="5">
        <v>1.0780000000000001</v>
      </c>
      <c r="AI43" s="12">
        <v>1.0668</v>
      </c>
      <c r="AL43" s="127"/>
      <c r="AM43" s="30"/>
      <c r="AN43" s="30">
        <v>20</v>
      </c>
      <c r="AO43" s="129">
        <f>10^AP43</f>
        <v>6.812920690579614</v>
      </c>
      <c r="AP43" s="135">
        <f>$AP$38+(($AP$44-$AP$38)*5/6)</f>
        <v>0.83333333333333337</v>
      </c>
      <c r="AS43" s="217" t="s">
        <v>117</v>
      </c>
      <c r="AT43" s="218" t="s">
        <v>46</v>
      </c>
      <c r="AU43" s="218" t="s">
        <v>54</v>
      </c>
      <c r="AV43" s="218" t="s">
        <v>46</v>
      </c>
      <c r="AW43" s="218" t="s">
        <v>44</v>
      </c>
      <c r="AX43" s="218" t="s">
        <v>69</v>
      </c>
    </row>
    <row r="44" spans="9:50" ht="15.75" thickBot="1" x14ac:dyDescent="0.3">
      <c r="I44" s="11">
        <v>16</v>
      </c>
      <c r="J44" s="5">
        <v>1.1194</v>
      </c>
      <c r="K44" s="5">
        <v>1.1145</v>
      </c>
      <c r="L44" s="5">
        <v>1.1120000000000001</v>
      </c>
      <c r="M44" s="23">
        <v>1.1093999999999999</v>
      </c>
      <c r="N44" s="5">
        <v>1.1067</v>
      </c>
      <c r="O44" s="5">
        <v>1.1040000000000001</v>
      </c>
      <c r="P44" s="5">
        <v>1.0985</v>
      </c>
      <c r="Q44" s="5">
        <v>1.0927</v>
      </c>
      <c r="R44" s="5">
        <v>1.0868</v>
      </c>
      <c r="S44" s="5">
        <v>1.0740000000000001</v>
      </c>
      <c r="T44" s="12">
        <v>1.0605</v>
      </c>
      <c r="W44" s="77">
        <v>12</v>
      </c>
      <c r="X44" s="78">
        <v>1.0647</v>
      </c>
      <c r="AA44" s="11">
        <v>24</v>
      </c>
      <c r="AB44" s="5">
        <v>1.1314</v>
      </c>
      <c r="AC44" s="5">
        <v>1.1287</v>
      </c>
      <c r="AD44" s="5">
        <v>1.1237999999999999</v>
      </c>
      <c r="AE44" s="23">
        <v>1.1187</v>
      </c>
      <c r="AF44" s="5">
        <v>1.1085</v>
      </c>
      <c r="AG44" s="5">
        <v>1.0982000000000001</v>
      </c>
      <c r="AH44" s="5">
        <v>1.0873999999999999</v>
      </c>
      <c r="AI44" s="12">
        <v>1.0761000000000001</v>
      </c>
      <c r="AL44" s="127"/>
      <c r="AM44" s="30"/>
      <c r="AN44" s="30">
        <v>20</v>
      </c>
      <c r="AO44" s="136">
        <v>10</v>
      </c>
      <c r="AP44" s="130">
        <f>LOG10(AO44)</f>
        <v>1</v>
      </c>
      <c r="AS44" s="217" t="s">
        <v>344</v>
      </c>
      <c r="AT44" s="218" t="s">
        <v>54</v>
      </c>
      <c r="AU44" s="218" t="s">
        <v>54</v>
      </c>
      <c r="AV44" s="218" t="s">
        <v>53</v>
      </c>
      <c r="AW44" s="218" t="s">
        <v>72</v>
      </c>
      <c r="AX44" s="218" t="s">
        <v>64</v>
      </c>
    </row>
    <row r="45" spans="9:50" ht="15.75" thickBot="1" x14ac:dyDescent="0.3">
      <c r="I45" s="11">
        <v>18</v>
      </c>
      <c r="J45" s="5">
        <v>1.1351</v>
      </c>
      <c r="K45" s="5">
        <v>1.1297999999999999</v>
      </c>
      <c r="L45" s="5">
        <v>1.1271</v>
      </c>
      <c r="M45" s="23">
        <v>1.1243000000000001</v>
      </c>
      <c r="N45" s="5">
        <v>1.1214999999999999</v>
      </c>
      <c r="O45" s="5">
        <v>1.1187</v>
      </c>
      <c r="P45" s="5">
        <v>1.1129</v>
      </c>
      <c r="Q45" s="5">
        <v>1.107</v>
      </c>
      <c r="R45" s="5">
        <v>1.1009</v>
      </c>
      <c r="S45" s="5">
        <v>1.0879000000000001</v>
      </c>
      <c r="T45" s="12">
        <v>1.0744</v>
      </c>
      <c r="W45" s="77">
        <v>13</v>
      </c>
      <c r="X45" s="78">
        <v>1.0705</v>
      </c>
      <c r="AA45" s="11">
        <v>26</v>
      </c>
      <c r="AB45" s="5">
        <v>1.1426000000000001</v>
      </c>
      <c r="AC45" s="5">
        <v>1.1395999999999999</v>
      </c>
      <c r="AD45" s="5">
        <v>1.1344000000000001</v>
      </c>
      <c r="AE45" s="23">
        <v>1.129</v>
      </c>
      <c r="AF45" s="5">
        <v>1.1183000000000001</v>
      </c>
      <c r="AG45" s="5">
        <v>1.1075999999999999</v>
      </c>
      <c r="AH45" s="5">
        <v>1.0967</v>
      </c>
      <c r="AI45" s="12">
        <v>1.0852999999999999</v>
      </c>
      <c r="AL45" s="137"/>
      <c r="AM45" s="138"/>
      <c r="AN45" s="138">
        <v>260</v>
      </c>
      <c r="AO45" s="138"/>
      <c r="AP45" s="139"/>
      <c r="AS45" s="217" t="s">
        <v>112</v>
      </c>
      <c r="AT45" s="218" t="s">
        <v>46</v>
      </c>
      <c r="AU45" s="218" t="s">
        <v>46</v>
      </c>
      <c r="AV45" s="218" t="s">
        <v>46</v>
      </c>
      <c r="AW45" s="218" t="s">
        <v>44</v>
      </c>
      <c r="AX45" s="218" t="s">
        <v>76</v>
      </c>
    </row>
    <row r="46" spans="9:50" ht="15.75" thickBot="1" x14ac:dyDescent="0.3">
      <c r="I46" s="11">
        <v>20</v>
      </c>
      <c r="J46" s="5">
        <v>1.151</v>
      </c>
      <c r="K46" s="5">
        <v>1.1453</v>
      </c>
      <c r="L46" s="5">
        <v>1.1424000000000001</v>
      </c>
      <c r="M46" s="23">
        <v>1.1394</v>
      </c>
      <c r="N46" s="5">
        <v>1.1365000000000001</v>
      </c>
      <c r="O46" s="5">
        <v>1.1335</v>
      </c>
      <c r="P46" s="5">
        <v>1.1274999999999999</v>
      </c>
      <c r="Q46" s="5">
        <v>1.1214999999999999</v>
      </c>
      <c r="R46" s="5">
        <v>1.1153</v>
      </c>
      <c r="S46" s="5">
        <v>1.1021000000000001</v>
      </c>
      <c r="T46" s="12">
        <v>1.0885</v>
      </c>
      <c r="W46" s="77">
        <v>14</v>
      </c>
      <c r="X46" s="78">
        <v>1.0764</v>
      </c>
      <c r="AA46" s="11">
        <v>28</v>
      </c>
      <c r="AB46" s="5">
        <v>1.1536999999999999</v>
      </c>
      <c r="AC46" s="5">
        <v>1.1505000000000001</v>
      </c>
      <c r="AD46" s="5">
        <v>1.1449</v>
      </c>
      <c r="AE46" s="23">
        <v>1.1392</v>
      </c>
      <c r="AF46" s="5">
        <v>1.1279999999999999</v>
      </c>
      <c r="AG46" s="5">
        <v>1.1169</v>
      </c>
      <c r="AH46" s="5">
        <v>1.1057999999999999</v>
      </c>
      <c r="AI46" s="12">
        <v>1.0942000000000001</v>
      </c>
      <c r="AL46" s="28"/>
      <c r="AM46" s="28"/>
      <c r="AN46" s="28"/>
      <c r="AO46" s="28"/>
      <c r="AP46" s="28"/>
      <c r="AS46" s="217" t="s">
        <v>99</v>
      </c>
      <c r="AT46" s="218" t="s">
        <v>45</v>
      </c>
      <c r="AU46" s="218" t="s">
        <v>46</v>
      </c>
      <c r="AV46" s="218" t="s">
        <v>46</v>
      </c>
      <c r="AW46" s="218" t="s">
        <v>44</v>
      </c>
      <c r="AX46" s="218" t="s">
        <v>64</v>
      </c>
    </row>
    <row r="47" spans="9:50" ht="15.75" thickBot="1" x14ac:dyDescent="0.3">
      <c r="I47" s="11">
        <v>22</v>
      </c>
      <c r="J47" s="5">
        <v>1.167</v>
      </c>
      <c r="K47" s="5">
        <v>1.1609</v>
      </c>
      <c r="L47" s="5">
        <v>1.1578999999999999</v>
      </c>
      <c r="M47" s="23">
        <v>1.1548</v>
      </c>
      <c r="N47" s="5">
        <v>1.1516999999999999</v>
      </c>
      <c r="O47" s="5">
        <v>1.1486000000000001</v>
      </c>
      <c r="P47" s="5">
        <v>1.1424000000000001</v>
      </c>
      <c r="Q47" s="5">
        <v>1.1362000000000001</v>
      </c>
      <c r="R47" s="5">
        <v>1.1298999999999999</v>
      </c>
      <c r="S47" s="5">
        <v>1.1166</v>
      </c>
      <c r="T47" s="12">
        <v>1.1029</v>
      </c>
      <c r="W47" s="77">
        <v>15</v>
      </c>
      <c r="X47" s="78">
        <v>1.0824</v>
      </c>
      <c r="AA47" s="11">
        <v>30</v>
      </c>
      <c r="AB47" s="5">
        <v>1.1648000000000001</v>
      </c>
      <c r="AC47" s="5">
        <v>1.1613</v>
      </c>
      <c r="AD47" s="5">
        <v>1.1553</v>
      </c>
      <c r="AE47" s="23">
        <v>1.1493</v>
      </c>
      <c r="AF47" s="5">
        <v>1.1375999999999999</v>
      </c>
      <c r="AG47" s="5">
        <v>1.1259999999999999</v>
      </c>
      <c r="AH47" s="5">
        <v>1.1149</v>
      </c>
      <c r="AI47" s="12">
        <v>1.103</v>
      </c>
      <c r="AL47" s="28"/>
      <c r="AM47" s="28"/>
      <c r="AN47" s="28"/>
      <c r="AO47" s="28"/>
      <c r="AP47" s="28"/>
      <c r="AS47" s="217" t="s">
        <v>100</v>
      </c>
      <c r="AT47" s="218" t="s">
        <v>45</v>
      </c>
      <c r="AU47" s="218" t="s">
        <v>46</v>
      </c>
      <c r="AV47" s="218" t="s">
        <v>46</v>
      </c>
      <c r="AW47" s="218" t="s">
        <v>44</v>
      </c>
      <c r="AX47" s="218" t="s">
        <v>64</v>
      </c>
    </row>
    <row r="48" spans="9:50" ht="15.75" thickBot="1" x14ac:dyDescent="0.3">
      <c r="I48" s="11">
        <v>24</v>
      </c>
      <c r="J48" s="5">
        <v>1.1832</v>
      </c>
      <c r="K48" s="5">
        <v>1.1768000000000001</v>
      </c>
      <c r="L48" s="5">
        <v>1.1736</v>
      </c>
      <c r="M48" s="23">
        <v>1.1704000000000001</v>
      </c>
      <c r="N48" s="5">
        <v>1.1672</v>
      </c>
      <c r="O48" s="5">
        <v>1.1639999999999999</v>
      </c>
      <c r="P48" s="5">
        <v>1.1576</v>
      </c>
      <c r="Q48" s="5">
        <v>1.1512</v>
      </c>
      <c r="R48" s="5">
        <v>1.1448</v>
      </c>
      <c r="S48" s="5">
        <v>1.1313</v>
      </c>
      <c r="T48" s="12">
        <v>1.1175999999999999</v>
      </c>
      <c r="W48" s="77">
        <v>16</v>
      </c>
      <c r="X48" s="78">
        <v>1.0884</v>
      </c>
      <c r="AA48" s="11">
        <v>32</v>
      </c>
      <c r="AB48" s="5">
        <v>1.1814</v>
      </c>
      <c r="AC48" s="5">
        <v>1.1762999999999999</v>
      </c>
      <c r="AD48" s="5">
        <v>1.1674</v>
      </c>
      <c r="AE48" s="23">
        <v>1.1593</v>
      </c>
      <c r="AF48" s="5">
        <v>1.1471</v>
      </c>
      <c r="AG48" s="5">
        <v>1.1358999999999999</v>
      </c>
      <c r="AH48" s="5">
        <v>1.1246</v>
      </c>
      <c r="AI48" s="12">
        <v>1.1126</v>
      </c>
      <c r="AL48" s="28"/>
      <c r="AM48" s="28"/>
      <c r="AN48" s="28"/>
      <c r="AO48" s="28"/>
      <c r="AP48" s="28"/>
      <c r="AS48" s="217" t="s">
        <v>102</v>
      </c>
      <c r="AT48" s="218" t="s">
        <v>45</v>
      </c>
      <c r="AU48" s="218" t="s">
        <v>61</v>
      </c>
      <c r="AV48" s="218" t="s">
        <v>46</v>
      </c>
      <c r="AW48" s="218" t="s">
        <v>60</v>
      </c>
      <c r="AX48" s="218" t="s">
        <v>43</v>
      </c>
    </row>
    <row r="49" spans="9:42" ht="15.75" thickBot="1" x14ac:dyDescent="0.3">
      <c r="I49" s="11">
        <v>26</v>
      </c>
      <c r="J49" s="5">
        <v>1.1996</v>
      </c>
      <c r="K49" s="5">
        <v>1.1929000000000001</v>
      </c>
      <c r="L49" s="5">
        <v>1.1896</v>
      </c>
      <c r="M49" s="23">
        <v>1.1861999999999999</v>
      </c>
      <c r="N49" s="5">
        <v>1.1829000000000001</v>
      </c>
      <c r="O49" s="5">
        <v>1.1796</v>
      </c>
      <c r="P49" s="5">
        <v>1.173</v>
      </c>
      <c r="Q49" s="5">
        <v>1.1665000000000001</v>
      </c>
      <c r="R49" s="5">
        <v>1.1598999999999999</v>
      </c>
      <c r="S49" s="5">
        <v>1.1463000000000001</v>
      </c>
      <c r="T49" s="12">
        <v>1.1325000000000001</v>
      </c>
      <c r="W49" s="77">
        <v>17</v>
      </c>
      <c r="X49" s="78">
        <v>1.0946</v>
      </c>
      <c r="AA49" s="11">
        <v>34</v>
      </c>
      <c r="AB49" s="5">
        <v>1.1929000000000001</v>
      </c>
      <c r="AC49" s="5">
        <v>1.1876</v>
      </c>
      <c r="AD49" s="5">
        <v>1.1780999999999999</v>
      </c>
      <c r="AE49" s="23">
        <v>1.1691</v>
      </c>
      <c r="AF49" s="5">
        <v>1.1566000000000001</v>
      </c>
      <c r="AG49" s="5">
        <v>1.1452</v>
      </c>
      <c r="AH49" s="5">
        <v>1.1338999999999999</v>
      </c>
      <c r="AI49" s="12">
        <v>1.1215999999999999</v>
      </c>
      <c r="AL49" s="28"/>
      <c r="AM49" s="28"/>
      <c r="AN49" s="28"/>
      <c r="AO49" s="28"/>
      <c r="AP49" s="28"/>
    </row>
    <row r="50" spans="9:42" ht="15.75" thickBot="1" x14ac:dyDescent="0.3">
      <c r="I50" s="11">
        <v>28</v>
      </c>
      <c r="J50" s="5">
        <v>1.216</v>
      </c>
      <c r="K50" s="5">
        <v>1.2091000000000001</v>
      </c>
      <c r="L50" s="5">
        <v>1.2057</v>
      </c>
      <c r="M50" s="23">
        <v>1.2022999999999999</v>
      </c>
      <c r="N50" s="5">
        <v>1.1989000000000001</v>
      </c>
      <c r="O50" s="5">
        <v>1.1955</v>
      </c>
      <c r="P50" s="5">
        <v>1.1887000000000001</v>
      </c>
      <c r="Q50" s="5">
        <v>1.1819999999999999</v>
      </c>
      <c r="R50" s="5">
        <v>1.1753</v>
      </c>
      <c r="S50" s="5">
        <v>1.1616</v>
      </c>
      <c r="T50" s="12">
        <v>1.1476</v>
      </c>
      <c r="W50" s="77">
        <v>18</v>
      </c>
      <c r="X50" s="78">
        <v>1.1008</v>
      </c>
      <c r="AA50" s="11">
        <v>36</v>
      </c>
      <c r="AB50" s="5">
        <v>1.2042999999999999</v>
      </c>
      <c r="AC50" s="5">
        <v>1.1988000000000001</v>
      </c>
      <c r="AD50" s="5">
        <v>1.1889000000000001</v>
      </c>
      <c r="AE50" s="23">
        <v>1.1789000000000001</v>
      </c>
      <c r="AF50" s="5">
        <v>1.1660999999999999</v>
      </c>
      <c r="AG50" s="5">
        <v>1.1544000000000001</v>
      </c>
      <c r="AH50" s="5">
        <v>1.1432</v>
      </c>
      <c r="AI50" s="12">
        <v>1.1305000000000001</v>
      </c>
      <c r="AL50" s="28"/>
      <c r="AM50" s="28"/>
      <c r="AN50" s="28"/>
      <c r="AO50" s="28"/>
      <c r="AP50" s="28"/>
    </row>
    <row r="51" spans="9:42" ht="15.75" thickBot="1" x14ac:dyDescent="0.3">
      <c r="I51" s="11">
        <v>30</v>
      </c>
      <c r="J51" s="5">
        <v>1.2325999999999999</v>
      </c>
      <c r="K51" s="5">
        <v>1.2255</v>
      </c>
      <c r="L51" s="5">
        <v>1.222</v>
      </c>
      <c r="M51" s="23">
        <v>1.2184999999999999</v>
      </c>
      <c r="N51" s="5">
        <v>1.2150000000000001</v>
      </c>
      <c r="O51" s="5">
        <v>1.2115</v>
      </c>
      <c r="P51" s="5">
        <v>1.2045999999999999</v>
      </c>
      <c r="Q51" s="5">
        <v>1.1977</v>
      </c>
      <c r="R51" s="5">
        <v>1.1909000000000001</v>
      </c>
      <c r="S51" s="5">
        <v>1.1771</v>
      </c>
      <c r="T51" s="12">
        <v>1.163</v>
      </c>
      <c r="W51" s="77">
        <v>19</v>
      </c>
      <c r="X51" s="78">
        <v>1.1071</v>
      </c>
      <c r="AA51" s="11">
        <v>38</v>
      </c>
      <c r="AB51" s="5">
        <v>1.2156</v>
      </c>
      <c r="AC51" s="5">
        <v>1.21</v>
      </c>
      <c r="AD51" s="5">
        <v>1.1996</v>
      </c>
      <c r="AE51" s="23">
        <v>1.1884999999999999</v>
      </c>
      <c r="AF51" s="5">
        <v>1.1754</v>
      </c>
      <c r="AG51" s="5">
        <v>1.1635</v>
      </c>
      <c r="AH51" s="5">
        <v>1.1525000000000001</v>
      </c>
      <c r="AI51" s="12">
        <v>1.1393</v>
      </c>
      <c r="AL51" s="123" t="s">
        <v>328</v>
      </c>
      <c r="AM51" s="28"/>
      <c r="AN51" s="28"/>
      <c r="AO51" s="28"/>
      <c r="AP51" s="28"/>
    </row>
    <row r="52" spans="9:42" ht="15.75" thickBot="1" x14ac:dyDescent="0.3">
      <c r="I52" s="11">
        <v>32</v>
      </c>
      <c r="J52" s="5">
        <v>1.2493000000000001</v>
      </c>
      <c r="K52" s="5">
        <v>1.2421</v>
      </c>
      <c r="L52" s="5">
        <v>1.2384999999999999</v>
      </c>
      <c r="M52" s="23">
        <v>1.2349000000000001</v>
      </c>
      <c r="N52" s="5">
        <v>1.2314000000000001</v>
      </c>
      <c r="O52" s="5">
        <v>1.2278</v>
      </c>
      <c r="P52" s="5">
        <v>1.2206999999999999</v>
      </c>
      <c r="Q52" s="5">
        <v>1.2137</v>
      </c>
      <c r="R52" s="5">
        <v>1.2068000000000001</v>
      </c>
      <c r="S52" s="5">
        <v>1.1928000000000001</v>
      </c>
      <c r="T52" s="12">
        <v>1.1787000000000001</v>
      </c>
      <c r="W52" s="77">
        <v>20</v>
      </c>
      <c r="X52" s="78">
        <v>1.1133999999999999</v>
      </c>
      <c r="AA52" s="13">
        <v>40</v>
      </c>
      <c r="AB52" s="14"/>
      <c r="AC52" s="14"/>
      <c r="AD52" s="14"/>
      <c r="AE52" s="24">
        <v>1.198</v>
      </c>
      <c r="AF52" s="14"/>
      <c r="AG52" s="14"/>
      <c r="AH52" s="16"/>
      <c r="AI52" s="17"/>
      <c r="AL52" s="124"/>
      <c r="AM52" s="125" t="s">
        <v>320</v>
      </c>
      <c r="AN52" s="125"/>
      <c r="AO52" s="125" t="s">
        <v>321</v>
      </c>
      <c r="AP52" s="126">
        <f>10^AP53</f>
        <v>2.4997326802683544</v>
      </c>
    </row>
    <row r="53" spans="9:42" ht="15.75" thickBot="1" x14ac:dyDescent="0.3">
      <c r="I53" s="11">
        <v>34</v>
      </c>
      <c r="J53" s="5">
        <v>1.2661</v>
      </c>
      <c r="K53" s="5">
        <v>1.2587999999999999</v>
      </c>
      <c r="L53" s="5">
        <v>1.2552000000000001</v>
      </c>
      <c r="M53" s="23">
        <v>1.2515000000000001</v>
      </c>
      <c r="N53" s="5">
        <v>1.2479</v>
      </c>
      <c r="O53" s="5">
        <v>1.2443</v>
      </c>
      <c r="P53" s="5">
        <v>1.2371000000000001</v>
      </c>
      <c r="Q53" s="5">
        <v>1.23</v>
      </c>
      <c r="R53" s="5">
        <v>1.2229000000000001</v>
      </c>
      <c r="S53" s="5">
        <v>1.2088000000000001</v>
      </c>
      <c r="T53" s="12">
        <v>1.1946000000000001</v>
      </c>
      <c r="W53" s="77">
        <v>21</v>
      </c>
      <c r="X53" s="78">
        <v>1.1198999999999999</v>
      </c>
      <c r="AL53" s="127" t="s">
        <v>316</v>
      </c>
      <c r="AM53" s="128">
        <f>LOG10('Wasserversorger &amp; Aufbereitung'!BK28)-LOG10(AO62)-(LOG10('Wasserversorger &amp; Aufbereitung'!BK28)-LOG10(AO62))/12.5</f>
        <v>0.68510656988240437</v>
      </c>
      <c r="AN53" s="30"/>
      <c r="AO53" s="134">
        <f>'Wasserversorger &amp; Aufbereitung'!BK28</f>
        <v>2.4997326802683539</v>
      </c>
      <c r="AP53" s="130">
        <f>LOG10(AO53)</f>
        <v>0.39789356799534842</v>
      </c>
    </row>
    <row r="54" spans="9:42" ht="15.75" thickBot="1" x14ac:dyDescent="0.3">
      <c r="I54" s="11">
        <v>36</v>
      </c>
      <c r="J54" s="5">
        <v>1.2830999999999999</v>
      </c>
      <c r="K54" s="5">
        <v>1.2757000000000001</v>
      </c>
      <c r="L54" s="5">
        <v>1.272</v>
      </c>
      <c r="M54" s="23">
        <v>1.2684</v>
      </c>
      <c r="N54" s="5">
        <v>1.2646999999999999</v>
      </c>
      <c r="O54" s="5">
        <v>1.2609999999999999</v>
      </c>
      <c r="P54" s="5">
        <v>1.2538</v>
      </c>
      <c r="Q54" s="5">
        <v>1.2465999999999999</v>
      </c>
      <c r="R54" s="5">
        <v>1.2394000000000001</v>
      </c>
      <c r="S54" s="5">
        <v>1.2251000000000001</v>
      </c>
      <c r="T54" s="12">
        <v>1.2109000000000001</v>
      </c>
      <c r="W54" s="77">
        <v>22</v>
      </c>
      <c r="X54" s="78">
        <v>1.1263000000000001</v>
      </c>
      <c r="AL54" s="127"/>
      <c r="AM54" s="30"/>
      <c r="AN54" s="30"/>
      <c r="AO54" s="30"/>
      <c r="AP54" s="130"/>
    </row>
    <row r="55" spans="9:42" ht="15.75" thickBot="1" x14ac:dyDescent="0.3">
      <c r="I55" s="11">
        <v>38</v>
      </c>
      <c r="J55" s="5">
        <v>1.3004</v>
      </c>
      <c r="K55" s="5">
        <v>1.2928999999999999</v>
      </c>
      <c r="L55" s="5">
        <v>1.2890999999999999</v>
      </c>
      <c r="M55" s="23">
        <v>1.2855000000000001</v>
      </c>
      <c r="N55" s="5">
        <v>1.2818000000000001</v>
      </c>
      <c r="O55" s="5">
        <v>1.278</v>
      </c>
      <c r="P55" s="5">
        <v>1.2706999999999999</v>
      </c>
      <c r="Q55" s="5">
        <v>1.2635000000000001</v>
      </c>
      <c r="R55" s="5">
        <v>1.2561</v>
      </c>
      <c r="S55" s="5">
        <v>1.2418</v>
      </c>
      <c r="T55" s="12">
        <v>1.2276</v>
      </c>
      <c r="W55" s="77">
        <v>23</v>
      </c>
      <c r="X55" s="78">
        <v>1.1329</v>
      </c>
      <c r="AL55" s="127" t="s">
        <v>317</v>
      </c>
      <c r="AM55" s="30" t="s">
        <v>318</v>
      </c>
      <c r="AN55" s="30" t="s">
        <v>317</v>
      </c>
      <c r="AO55" s="30"/>
      <c r="AP55" s="130"/>
    </row>
    <row r="56" spans="9:42" ht="15.75" thickBot="1" x14ac:dyDescent="0.3">
      <c r="I56" s="11">
        <v>40</v>
      </c>
      <c r="J56" s="5">
        <v>1.3179000000000001</v>
      </c>
      <c r="K56" s="5">
        <v>1.3103</v>
      </c>
      <c r="L56" s="5">
        <v>1.3065</v>
      </c>
      <c r="M56" s="23">
        <v>1.3028</v>
      </c>
      <c r="N56" s="5">
        <v>1.2990999999999999</v>
      </c>
      <c r="O56" s="5">
        <v>1.2952999999999999</v>
      </c>
      <c r="P56" s="5">
        <v>1.288</v>
      </c>
      <c r="Q56" s="5">
        <v>1.2806</v>
      </c>
      <c r="R56" s="5">
        <v>1.2732000000000001</v>
      </c>
      <c r="S56" s="5">
        <v>1.2588999999999999</v>
      </c>
      <c r="T56" s="12">
        <v>1.2445999999999999</v>
      </c>
      <c r="W56" s="77">
        <v>24</v>
      </c>
      <c r="X56" s="78">
        <v>1.1395</v>
      </c>
      <c r="AL56" s="127"/>
      <c r="AM56" s="131">
        <f>AM53+1</f>
        <v>1.6851065698824044</v>
      </c>
      <c r="AN56" s="30">
        <v>20</v>
      </c>
      <c r="AO56" s="132">
        <v>4.4999999999999998E-2</v>
      </c>
      <c r="AP56" s="135">
        <f>LOG10(AO56)</f>
        <v>-1.3467874862246563</v>
      </c>
    </row>
    <row r="57" spans="9:42" ht="15.75" thickBot="1" x14ac:dyDescent="0.3">
      <c r="I57" s="11">
        <v>42</v>
      </c>
      <c r="J57" s="5">
        <v>1.3357000000000001</v>
      </c>
      <c r="K57" s="5">
        <v>1.3280000000000001</v>
      </c>
      <c r="L57" s="5">
        <v>1.3242</v>
      </c>
      <c r="M57" s="23">
        <v>1.3205</v>
      </c>
      <c r="N57" s="5">
        <v>1.3167</v>
      </c>
      <c r="O57" s="5">
        <v>1.3129</v>
      </c>
      <c r="P57" s="5">
        <v>1.3055000000000001</v>
      </c>
      <c r="Q57" s="5">
        <v>1.2981</v>
      </c>
      <c r="R57" s="5">
        <v>1.2907</v>
      </c>
      <c r="S57" s="5">
        <v>1.2762</v>
      </c>
      <c r="T57" s="12">
        <v>1.2619</v>
      </c>
      <c r="W57" s="77">
        <v>25</v>
      </c>
      <c r="X57" s="78">
        <v>1.1462000000000001</v>
      </c>
      <c r="AL57" s="133">
        <f>AM56-1</f>
        <v>0.68510656988240437</v>
      </c>
      <c r="AM57" s="128">
        <v>0</v>
      </c>
      <c r="AN57" s="30">
        <v>20</v>
      </c>
      <c r="AO57" s="134">
        <f>10^AP57</f>
        <v>6.6050967042993111E-2</v>
      </c>
      <c r="AP57" s="135">
        <f>$AP$62-(($AP$68-$AP$62)*5/6)</f>
        <v>-1.1801208195579898</v>
      </c>
    </row>
    <row r="58" spans="9:42" ht="15.75" thickBot="1" x14ac:dyDescent="0.3">
      <c r="I58" s="11">
        <v>44</v>
      </c>
      <c r="J58" s="5">
        <v>1.3537999999999999</v>
      </c>
      <c r="K58" s="5">
        <v>1.3461000000000001</v>
      </c>
      <c r="L58" s="5">
        <v>1.3423</v>
      </c>
      <c r="M58" s="23">
        <v>1.3384</v>
      </c>
      <c r="N58" s="5">
        <v>1.3346</v>
      </c>
      <c r="O58" s="5">
        <v>1.3308</v>
      </c>
      <c r="P58" s="5">
        <v>1.3233999999999999</v>
      </c>
      <c r="Q58" s="5">
        <v>1.3160000000000001</v>
      </c>
      <c r="R58" s="5">
        <v>1.3086</v>
      </c>
      <c r="S58" s="5">
        <v>1.2939000000000001</v>
      </c>
      <c r="T58" s="12">
        <v>1.2796000000000001</v>
      </c>
      <c r="W58" s="77">
        <v>26</v>
      </c>
      <c r="X58" s="78">
        <v>1.1529</v>
      </c>
      <c r="AL58" s="127"/>
      <c r="AM58" s="128">
        <f>AM59-AM56</f>
        <v>0.31489343011759563</v>
      </c>
      <c r="AN58" s="30">
        <v>20</v>
      </c>
      <c r="AO58" s="134">
        <f>10^AP58</f>
        <v>9.6949561051434749E-2</v>
      </c>
      <c r="AP58" s="135">
        <f>$AP$62-(($AP$68-$AP$62)*4/6)</f>
        <v>-1.013454152891323</v>
      </c>
    </row>
    <row r="59" spans="9:42" ht="15.75" thickBot="1" x14ac:dyDescent="0.3">
      <c r="I59" s="11">
        <v>46</v>
      </c>
      <c r="J59" s="5">
        <v>1.3724000000000001</v>
      </c>
      <c r="K59" s="5">
        <v>1.3646</v>
      </c>
      <c r="L59" s="5">
        <v>1.3608</v>
      </c>
      <c r="M59" s="23">
        <v>1.3569</v>
      </c>
      <c r="N59" s="5">
        <v>1.353</v>
      </c>
      <c r="O59" s="5">
        <v>1.3492</v>
      </c>
      <c r="P59" s="5">
        <v>1.3416999999999999</v>
      </c>
      <c r="Q59" s="5">
        <v>1.3343</v>
      </c>
      <c r="R59" s="5">
        <v>1.3269</v>
      </c>
      <c r="S59" s="5">
        <v>1.3120000000000001</v>
      </c>
      <c r="T59" s="12">
        <v>1.2976000000000001</v>
      </c>
      <c r="W59" s="77">
        <v>27</v>
      </c>
      <c r="X59" s="78">
        <v>1.1597</v>
      </c>
      <c r="AL59" s="127"/>
      <c r="AM59" s="128">
        <v>2</v>
      </c>
      <c r="AN59" s="30">
        <v>20</v>
      </c>
      <c r="AO59" s="134">
        <f>10^AP59</f>
        <v>0.14230249470757708</v>
      </c>
      <c r="AP59" s="135">
        <f>$AP$62-(($AP$68-$AP$62)*3/6)</f>
        <v>-0.84678748622465627</v>
      </c>
    </row>
    <row r="60" spans="9:42" ht="15.75" thickBot="1" x14ac:dyDescent="0.3">
      <c r="I60" s="11">
        <v>48</v>
      </c>
      <c r="J60" s="5">
        <v>1.3915</v>
      </c>
      <c r="K60" s="5">
        <v>1.3835</v>
      </c>
      <c r="L60" s="5">
        <v>1.3796999999999999</v>
      </c>
      <c r="M60" s="23">
        <v>1.3757999999999999</v>
      </c>
      <c r="N60" s="5">
        <v>1.3718999999999999</v>
      </c>
      <c r="O60" s="5">
        <v>1.3680000000000001</v>
      </c>
      <c r="P60" s="5">
        <v>1.3604000000000001</v>
      </c>
      <c r="Q60" s="5">
        <v>1.3528</v>
      </c>
      <c r="R60" s="5">
        <v>1.3454999999999999</v>
      </c>
      <c r="S60" s="5">
        <v>1.3305</v>
      </c>
      <c r="T60" s="12">
        <v>1.3159000000000001</v>
      </c>
      <c r="W60" s="77">
        <v>28</v>
      </c>
      <c r="X60" s="78">
        <v>1.1665000000000001</v>
      </c>
      <c r="AL60" s="127"/>
      <c r="AM60" s="30"/>
      <c r="AN60" s="30">
        <v>20</v>
      </c>
      <c r="AO60" s="134">
        <f>10^AP60</f>
        <v>0.208871497512575</v>
      </c>
      <c r="AP60" s="135">
        <f>$AP$62-(($AP$68-$AP$62)*2/6)</f>
        <v>-0.68012081955798964</v>
      </c>
    </row>
    <row r="61" spans="9:42" ht="15.75" thickBot="1" x14ac:dyDescent="0.3">
      <c r="I61" s="11">
        <v>50</v>
      </c>
      <c r="J61" s="5">
        <v>1.411</v>
      </c>
      <c r="K61" s="5">
        <v>1.4029</v>
      </c>
      <c r="L61" s="5">
        <v>1.399</v>
      </c>
      <c r="M61" s="23">
        <v>1.3951</v>
      </c>
      <c r="N61" s="5">
        <v>1.3911</v>
      </c>
      <c r="O61" s="5">
        <v>1.3872</v>
      </c>
      <c r="P61" s="5">
        <v>1.3794999999999999</v>
      </c>
      <c r="Q61" s="5">
        <v>1.3718999999999999</v>
      </c>
      <c r="R61" s="5">
        <v>1.3644000000000001</v>
      </c>
      <c r="S61" s="5">
        <v>1.3493999999999999</v>
      </c>
      <c r="T61" s="12">
        <v>1.3348</v>
      </c>
      <c r="W61" s="77">
        <v>29</v>
      </c>
      <c r="X61" s="78">
        <v>1.1735</v>
      </c>
      <c r="AL61" s="127"/>
      <c r="AM61" s="30"/>
      <c r="AN61" s="30">
        <v>20</v>
      </c>
      <c r="AO61" s="134">
        <f>10^AP61</f>
        <v>0.30658143107608249</v>
      </c>
      <c r="AP61" s="135">
        <f>$AP$62-(($AP$68-$AP$62)*1/6)</f>
        <v>-0.51345415289132301</v>
      </c>
    </row>
    <row r="62" spans="9:42" ht="15.75" thickBot="1" x14ac:dyDescent="0.3">
      <c r="I62" s="11">
        <v>52</v>
      </c>
      <c r="J62" s="5">
        <v>1.431</v>
      </c>
      <c r="K62" s="5">
        <v>1.4228000000000001</v>
      </c>
      <c r="L62" s="5">
        <v>1.4188000000000001</v>
      </c>
      <c r="M62" s="23">
        <v>1.4148000000000001</v>
      </c>
      <c r="N62" s="5">
        <v>1.4109</v>
      </c>
      <c r="O62" s="5">
        <v>1.4069</v>
      </c>
      <c r="P62" s="5">
        <v>1.3991</v>
      </c>
      <c r="Q62" s="5">
        <v>1.3914</v>
      </c>
      <c r="R62" s="5">
        <v>1.3836999999999999</v>
      </c>
      <c r="S62" s="5">
        <v>1.3687</v>
      </c>
      <c r="T62" s="12">
        <v>1.3540000000000001</v>
      </c>
      <c r="W62" s="77">
        <v>30</v>
      </c>
      <c r="X62" s="78">
        <v>1.1805000000000001</v>
      </c>
      <c r="AL62" s="127"/>
      <c r="AM62" s="30"/>
      <c r="AN62" s="30">
        <v>20</v>
      </c>
      <c r="AO62" s="140">
        <v>0.45</v>
      </c>
      <c r="AP62" s="135">
        <f>LOG10(AO62)</f>
        <v>-0.34678748622465633</v>
      </c>
    </row>
    <row r="63" spans="9:42" ht="15.75" thickBot="1" x14ac:dyDescent="0.3">
      <c r="I63" s="11">
        <v>54</v>
      </c>
      <c r="J63" s="5">
        <v>1.4515</v>
      </c>
      <c r="K63" s="5">
        <v>1.4431</v>
      </c>
      <c r="L63" s="5">
        <v>1.4391</v>
      </c>
      <c r="M63" s="23">
        <v>1.4350000000000001</v>
      </c>
      <c r="N63" s="5">
        <v>1.431</v>
      </c>
      <c r="O63" s="5">
        <v>1.427</v>
      </c>
      <c r="P63" s="5">
        <v>1.4191</v>
      </c>
      <c r="Q63" s="5">
        <v>1.4113</v>
      </c>
      <c r="R63" s="5">
        <v>1.4036</v>
      </c>
      <c r="S63" s="5">
        <v>1.3884000000000001</v>
      </c>
      <c r="T63" s="12">
        <v>1.3734999999999999</v>
      </c>
      <c r="W63" s="77">
        <v>35</v>
      </c>
      <c r="X63" s="78">
        <v>1.216</v>
      </c>
      <c r="AL63" s="127"/>
      <c r="AM63" s="30"/>
      <c r="AN63" s="30">
        <v>20</v>
      </c>
      <c r="AO63" s="134">
        <f>10^AP63</f>
        <v>0.66050967042993125</v>
      </c>
      <c r="AP63" s="135">
        <f>(($AP$68-$AP$62)*1/6)+$AP$62</f>
        <v>-0.18012081955798967</v>
      </c>
    </row>
    <row r="64" spans="9:42" ht="15.75" thickBot="1" x14ac:dyDescent="0.3">
      <c r="I64" s="11">
        <v>56</v>
      </c>
      <c r="J64" s="5">
        <v>1.4723999999999999</v>
      </c>
      <c r="K64" s="5">
        <v>1.464</v>
      </c>
      <c r="L64" s="5">
        <v>1.4598</v>
      </c>
      <c r="M64" s="23">
        <v>1.4557</v>
      </c>
      <c r="N64" s="5">
        <v>1.4516</v>
      </c>
      <c r="O64" s="5">
        <v>1.4475</v>
      </c>
      <c r="P64" s="5">
        <v>1.4396</v>
      </c>
      <c r="Q64" s="5">
        <v>1.4317</v>
      </c>
      <c r="R64" s="5">
        <v>1.4238999999999999</v>
      </c>
      <c r="S64" s="5">
        <v>1.4085000000000001</v>
      </c>
      <c r="T64" s="12">
        <v>1.3934</v>
      </c>
      <c r="W64" s="77">
        <v>40</v>
      </c>
      <c r="X64" s="78">
        <v>1.254</v>
      </c>
      <c r="AL64" s="127"/>
      <c r="AM64" s="30"/>
      <c r="AN64" s="30">
        <v>20</v>
      </c>
      <c r="AO64" s="129">
        <f>10^AP64</f>
        <v>0.96949561051434752</v>
      </c>
      <c r="AP64" s="135">
        <f>(($AP$68-$AP$62)*2/6)+$AP$62</f>
        <v>-1.3454152891323012E-2</v>
      </c>
    </row>
    <row r="65" spans="9:42" ht="15.75" thickBot="1" x14ac:dyDescent="0.3">
      <c r="I65" s="11">
        <v>58</v>
      </c>
      <c r="J65" s="5">
        <v>1.4937</v>
      </c>
      <c r="K65" s="5">
        <v>1.4852000000000001</v>
      </c>
      <c r="L65" s="5">
        <v>1.4809000000000001</v>
      </c>
      <c r="M65" s="23">
        <v>1.4767999999999999</v>
      </c>
      <c r="N65" s="5">
        <v>1.4725999999999999</v>
      </c>
      <c r="O65" s="5">
        <v>1.4684999999999999</v>
      </c>
      <c r="P65" s="5">
        <v>1.4603999999999999</v>
      </c>
      <c r="Q65" s="5">
        <v>1.4523999999999999</v>
      </c>
      <c r="R65" s="5">
        <v>1.4446000000000001</v>
      </c>
      <c r="S65" s="5">
        <v>1.429</v>
      </c>
      <c r="T65" s="12">
        <v>1.4137</v>
      </c>
      <c r="W65" s="77">
        <v>45</v>
      </c>
      <c r="X65" s="78">
        <v>1.2929999999999999</v>
      </c>
      <c r="AL65" s="127"/>
      <c r="AM65" s="30"/>
      <c r="AN65" s="30">
        <v>20</v>
      </c>
      <c r="AO65" s="129">
        <f>10^AP65</f>
        <v>1.4230249470757708</v>
      </c>
      <c r="AP65" s="135">
        <f>(($AP$68-$AP$62)*3/6)+$AP$62</f>
        <v>0.15321251377534367</v>
      </c>
    </row>
    <row r="66" spans="9:42" ht="15.75" thickBot="1" x14ac:dyDescent="0.3">
      <c r="I66" s="11">
        <v>60</v>
      </c>
      <c r="J66" s="5">
        <v>1.5154000000000001</v>
      </c>
      <c r="K66" s="5">
        <v>1.5066999999999999</v>
      </c>
      <c r="L66" s="5">
        <v>1.5024</v>
      </c>
      <c r="M66" s="23">
        <v>1.4983</v>
      </c>
      <c r="N66" s="5">
        <v>1.494</v>
      </c>
      <c r="O66" s="5">
        <v>1.4898</v>
      </c>
      <c r="P66" s="5">
        <v>1.4816</v>
      </c>
      <c r="Q66" s="5">
        <v>1.4735</v>
      </c>
      <c r="R66" s="5">
        <v>1.4656</v>
      </c>
      <c r="S66" s="5">
        <v>1.4497</v>
      </c>
      <c r="T66" s="12">
        <v>1.4343999999999999</v>
      </c>
      <c r="W66" s="77">
        <v>50</v>
      </c>
      <c r="X66" s="78">
        <v>1.335</v>
      </c>
      <c r="AL66" s="127"/>
      <c r="AM66" s="30"/>
      <c r="AN66" s="30">
        <v>20</v>
      </c>
      <c r="AO66" s="129">
        <f>10^AP66</f>
        <v>2.0887149751257503</v>
      </c>
      <c r="AP66" s="135">
        <f>(($AP$68-$AP$62)*4/6)+$AP$62</f>
        <v>0.3198791804420103</v>
      </c>
    </row>
    <row r="67" spans="9:42" ht="15.75" thickBot="1" x14ac:dyDescent="0.3">
      <c r="I67" s="11">
        <v>62</v>
      </c>
      <c r="J67" s="5">
        <v>1.5375000000000001</v>
      </c>
      <c r="K67" s="5">
        <v>1.5286999999999999</v>
      </c>
      <c r="L67" s="5">
        <v>1.5243</v>
      </c>
      <c r="M67" s="23">
        <v>1.52</v>
      </c>
      <c r="N67" s="5">
        <v>1.5157</v>
      </c>
      <c r="O67" s="5">
        <v>1.5115000000000001</v>
      </c>
      <c r="P67" s="5">
        <v>1.5031000000000001</v>
      </c>
      <c r="Q67" s="5">
        <v>1.4950000000000001</v>
      </c>
      <c r="R67" s="5">
        <v>1.4869000000000001</v>
      </c>
      <c r="S67" s="5">
        <v>1.4708000000000001</v>
      </c>
      <c r="T67" s="12">
        <v>1.4554</v>
      </c>
      <c r="W67" s="77">
        <v>55</v>
      </c>
      <c r="X67" s="78">
        <v>1.379</v>
      </c>
      <c r="AL67" s="127"/>
      <c r="AM67" s="30"/>
      <c r="AN67" s="30">
        <v>20</v>
      </c>
      <c r="AO67" s="129">
        <f>10^AP67</f>
        <v>3.0658143107608264</v>
      </c>
      <c r="AP67" s="135">
        <f>(($AP$68-$AP$62)*5/6)+$AP$62</f>
        <v>0.48654584710867704</v>
      </c>
    </row>
    <row r="68" spans="9:42" ht="15.75" thickBot="1" x14ac:dyDescent="0.3">
      <c r="I68" s="11">
        <v>64</v>
      </c>
      <c r="J68" s="5">
        <v>1.56</v>
      </c>
      <c r="K68" s="5">
        <v>1.5509999999999999</v>
      </c>
      <c r="L68" s="5">
        <v>1.5465</v>
      </c>
      <c r="M68" s="23">
        <v>1.5421</v>
      </c>
      <c r="N68" s="5">
        <v>1.5378000000000001</v>
      </c>
      <c r="O68" s="5">
        <v>1.5335000000000001</v>
      </c>
      <c r="P68" s="5">
        <v>1.5249999999999999</v>
      </c>
      <c r="Q68" s="5">
        <v>1.5166999999999999</v>
      </c>
      <c r="R68" s="5">
        <v>1.5085999999999999</v>
      </c>
      <c r="S68" s="5">
        <v>1.4923</v>
      </c>
      <c r="T68" s="12">
        <v>1.4765999999999999</v>
      </c>
      <c r="W68" s="77">
        <v>60</v>
      </c>
      <c r="X68" s="78">
        <v>1.4259999999999999</v>
      </c>
      <c r="AL68" s="127"/>
      <c r="AM68" s="30"/>
      <c r="AN68" s="30">
        <v>20</v>
      </c>
      <c r="AO68" s="136">
        <v>4.5</v>
      </c>
      <c r="AP68" s="135">
        <f>LOG10(AO68)</f>
        <v>0.65321251377534373</v>
      </c>
    </row>
    <row r="69" spans="9:42" ht="15.75" thickBot="1" x14ac:dyDescent="0.3">
      <c r="I69" s="11">
        <v>66</v>
      </c>
      <c r="J69" s="5">
        <v>1.5828</v>
      </c>
      <c r="K69" s="5">
        <v>1.5736000000000001</v>
      </c>
      <c r="L69" s="5">
        <v>1.5690999999999999</v>
      </c>
      <c r="M69" s="23">
        <v>1.5646</v>
      </c>
      <c r="N69" s="5">
        <v>1.5602</v>
      </c>
      <c r="O69" s="5">
        <v>1.5558000000000001</v>
      </c>
      <c r="P69" s="5">
        <v>1.5471999999999999</v>
      </c>
      <c r="Q69" s="5">
        <v>1.5387999999999999</v>
      </c>
      <c r="R69" s="5">
        <v>1.5305</v>
      </c>
      <c r="S69" s="5">
        <v>1.514</v>
      </c>
      <c r="T69" s="12">
        <v>1.4981</v>
      </c>
      <c r="W69" s="77">
        <v>65</v>
      </c>
      <c r="X69" s="78">
        <v>1.476</v>
      </c>
      <c r="AL69" s="137"/>
      <c r="AM69" s="138"/>
      <c r="AN69" s="138">
        <v>260</v>
      </c>
      <c r="AO69" s="138"/>
      <c r="AP69" s="139"/>
    </row>
    <row r="70" spans="9:42" ht="15.75" thickBot="1" x14ac:dyDescent="0.3">
      <c r="I70" s="11">
        <v>68</v>
      </c>
      <c r="J70" s="5">
        <v>1.6059000000000001</v>
      </c>
      <c r="K70" s="5">
        <v>1.5965</v>
      </c>
      <c r="L70" s="5">
        <v>1.5920000000000001</v>
      </c>
      <c r="M70" s="23">
        <v>1.5873999999999999</v>
      </c>
      <c r="N70" s="5">
        <v>1.5829</v>
      </c>
      <c r="O70" s="5">
        <v>1.5785</v>
      </c>
      <c r="P70" s="5">
        <v>1.5697000000000001</v>
      </c>
      <c r="Q70" s="5">
        <v>1.5610999999999999</v>
      </c>
      <c r="R70" s="5">
        <v>1.5528</v>
      </c>
      <c r="S70" s="5">
        <v>1.5359</v>
      </c>
      <c r="T70" s="12">
        <v>1.5198</v>
      </c>
      <c r="W70" s="77">
        <v>70</v>
      </c>
      <c r="X70" s="78">
        <v>1.526</v>
      </c>
    </row>
    <row r="71" spans="9:42" ht="15.75" thickBot="1" x14ac:dyDescent="0.3">
      <c r="I71" s="11">
        <v>70</v>
      </c>
      <c r="J71" s="5">
        <v>1.6293</v>
      </c>
      <c r="K71" s="5">
        <v>1.6197999999999999</v>
      </c>
      <c r="L71" s="5">
        <v>1.6151</v>
      </c>
      <c r="M71" s="23">
        <v>1.6105</v>
      </c>
      <c r="N71" s="5">
        <v>1.6059000000000001</v>
      </c>
      <c r="O71" s="5">
        <v>1.6013999999999999</v>
      </c>
      <c r="P71" s="5">
        <v>1.5925</v>
      </c>
      <c r="Q71" s="5">
        <v>1.5838000000000001</v>
      </c>
      <c r="R71" s="5">
        <v>1.5752999999999999</v>
      </c>
      <c r="S71" s="5">
        <v>1.5582</v>
      </c>
      <c r="T71" s="12">
        <v>1.5417000000000001</v>
      </c>
      <c r="W71" s="77">
        <v>75</v>
      </c>
      <c r="X71" s="78">
        <v>1.579</v>
      </c>
    </row>
    <row r="72" spans="9:42" ht="15.75" thickBot="1" x14ac:dyDescent="0.3">
      <c r="I72" s="11">
        <v>72</v>
      </c>
      <c r="J72" s="5">
        <v>1.6529</v>
      </c>
      <c r="K72" s="5">
        <v>1.6433</v>
      </c>
      <c r="L72" s="5">
        <v>1.6385000000000001</v>
      </c>
      <c r="M72" s="23">
        <v>1.6337999999999999</v>
      </c>
      <c r="N72" s="5">
        <v>1.6292</v>
      </c>
      <c r="O72" s="5">
        <v>1.6246</v>
      </c>
      <c r="P72" s="5">
        <v>1.6154999999999999</v>
      </c>
      <c r="Q72" s="5">
        <v>1.6067</v>
      </c>
      <c r="R72" s="5">
        <v>1.5981000000000001</v>
      </c>
      <c r="S72" s="5">
        <v>1.5806</v>
      </c>
      <c r="T72" s="12">
        <v>1.5637000000000001</v>
      </c>
      <c r="W72" s="77">
        <v>80</v>
      </c>
      <c r="X72" s="78">
        <v>1.633</v>
      </c>
    </row>
    <row r="73" spans="9:42" ht="15.75" thickBot="1" x14ac:dyDescent="0.3">
      <c r="I73" s="11">
        <v>74</v>
      </c>
      <c r="J73" s="5">
        <v>1.6768000000000001</v>
      </c>
      <c r="K73" s="5">
        <v>1.667</v>
      </c>
      <c r="L73" s="5">
        <v>1.6621999999999999</v>
      </c>
      <c r="M73" s="23">
        <v>1.6574</v>
      </c>
      <c r="N73" s="5">
        <v>1.6526000000000001</v>
      </c>
      <c r="O73" s="5">
        <v>1.6479999999999999</v>
      </c>
      <c r="P73" s="5">
        <v>1.6387</v>
      </c>
      <c r="Q73" s="5">
        <v>1.6296999999999999</v>
      </c>
      <c r="R73" s="5">
        <v>1.6209</v>
      </c>
      <c r="S73" s="5">
        <v>1.6031</v>
      </c>
      <c r="T73" s="12">
        <v>1.5857000000000001</v>
      </c>
      <c r="W73" s="77">
        <v>85</v>
      </c>
      <c r="X73" s="78">
        <v>1.6890000000000001</v>
      </c>
    </row>
    <row r="74" spans="9:42" ht="15.75" thickBot="1" x14ac:dyDescent="0.3">
      <c r="I74" s="11">
        <v>76</v>
      </c>
      <c r="J74" s="5">
        <v>1.7008000000000001</v>
      </c>
      <c r="K74" s="5">
        <v>1.6908000000000001</v>
      </c>
      <c r="L74" s="5">
        <v>1.6858</v>
      </c>
      <c r="M74" s="23">
        <v>1.681</v>
      </c>
      <c r="N74" s="5">
        <v>1.6760999999999999</v>
      </c>
      <c r="O74" s="5">
        <v>1.6713</v>
      </c>
      <c r="P74" s="5">
        <v>1.6618999999999999</v>
      </c>
      <c r="Q74" s="5">
        <v>1.6526000000000001</v>
      </c>
      <c r="R74" s="5">
        <v>1.6435</v>
      </c>
      <c r="S74" s="5">
        <v>1.6252</v>
      </c>
      <c r="T74" s="12">
        <v>1.6073999999999999</v>
      </c>
      <c r="W74" s="77">
        <v>90</v>
      </c>
      <c r="X74" s="78">
        <v>1.746</v>
      </c>
    </row>
    <row r="75" spans="9:42" ht="15.75" thickBot="1" x14ac:dyDescent="0.3">
      <c r="I75" s="11">
        <v>78</v>
      </c>
      <c r="J75" s="5">
        <v>1.7246999999999999</v>
      </c>
      <c r="K75" s="5">
        <v>1.7143999999999999</v>
      </c>
      <c r="L75" s="5">
        <v>1.7093</v>
      </c>
      <c r="M75" s="23">
        <v>1.7042999999999999</v>
      </c>
      <c r="N75" s="5">
        <v>1.6994</v>
      </c>
      <c r="O75" s="5">
        <v>1.6943999999999999</v>
      </c>
      <c r="P75" s="5">
        <v>1.6847000000000001</v>
      </c>
      <c r="Q75" s="5">
        <v>1.6751</v>
      </c>
      <c r="R75" s="5">
        <v>1.6657</v>
      </c>
      <c r="S75" s="5">
        <v>1.6469</v>
      </c>
      <c r="T75" s="12">
        <v>1.6286</v>
      </c>
      <c r="W75" s="77">
        <v>92</v>
      </c>
      <c r="X75" s="78">
        <v>1.77</v>
      </c>
      <c r="AL75" s="123" t="s">
        <v>417</v>
      </c>
      <c r="AM75" s="28"/>
      <c r="AN75" s="28"/>
      <c r="AO75" s="28"/>
      <c r="AP75" s="28"/>
    </row>
    <row r="76" spans="9:42" ht="15.75" thickBot="1" x14ac:dyDescent="0.3">
      <c r="I76" s="11">
        <v>80</v>
      </c>
      <c r="J76" s="5">
        <v>1.7482</v>
      </c>
      <c r="K76" s="5">
        <v>1.7376</v>
      </c>
      <c r="L76" s="5">
        <v>1.7323</v>
      </c>
      <c r="M76" s="23">
        <v>1.7272000000000001</v>
      </c>
      <c r="N76" s="5">
        <v>1.7221</v>
      </c>
      <c r="O76" s="5">
        <v>1.7170000000000001</v>
      </c>
      <c r="P76" s="5">
        <v>1.7069000000000001</v>
      </c>
      <c r="Q76" s="5">
        <v>1.6971000000000001</v>
      </c>
      <c r="R76" s="5">
        <v>1.6873</v>
      </c>
      <c r="S76" s="5">
        <v>1.6679999999999999</v>
      </c>
      <c r="T76" s="12">
        <v>1.6493</v>
      </c>
      <c r="W76" s="77">
        <v>94</v>
      </c>
      <c r="X76" s="78">
        <v>1.794</v>
      </c>
      <c r="AL76" s="124"/>
      <c r="AM76" s="125" t="s">
        <v>320</v>
      </c>
      <c r="AN76" s="125"/>
      <c r="AO76" s="125"/>
      <c r="AP76" s="126"/>
    </row>
    <row r="77" spans="9:42" ht="15.75" thickBot="1" x14ac:dyDescent="0.3">
      <c r="I77" s="11">
        <v>82</v>
      </c>
      <c r="J77" s="5">
        <v>1.7708999999999999</v>
      </c>
      <c r="K77" s="5">
        <v>1.7599</v>
      </c>
      <c r="L77" s="5">
        <v>1.7544</v>
      </c>
      <c r="M77" s="23">
        <v>1.7491000000000001</v>
      </c>
      <c r="N77" s="5">
        <v>1.7437</v>
      </c>
      <c r="O77" s="5">
        <v>1.7384999999999999</v>
      </c>
      <c r="P77" s="5">
        <v>1.7281</v>
      </c>
      <c r="Q77" s="5">
        <v>1.718</v>
      </c>
      <c r="R77" s="5">
        <v>1.708</v>
      </c>
      <c r="S77" s="5">
        <v>1.6881999999999999</v>
      </c>
      <c r="T77" s="12">
        <v>1.6692</v>
      </c>
      <c r="W77" s="77">
        <v>96</v>
      </c>
      <c r="X77" s="78">
        <v>1.819</v>
      </c>
      <c r="AL77" s="127" t="s">
        <v>316</v>
      </c>
      <c r="AM77" s="128">
        <f>('pH-Wert Maische'!Y30-'Infos &amp; Hilfseinträge'!AO85)*2-(('pH-Wert Maische'!Y30-'Infos &amp; Hilfseinträge'!AO85)/5.5)</f>
        <v>0.3510929911874266</v>
      </c>
      <c r="AN77" s="30"/>
      <c r="AO77" s="134"/>
      <c r="AP77" s="130"/>
    </row>
    <row r="78" spans="9:42" ht="15.75" thickBot="1" x14ac:dyDescent="0.3">
      <c r="I78" s="11">
        <v>84</v>
      </c>
      <c r="J78" s="5">
        <v>1.7916000000000001</v>
      </c>
      <c r="K78" s="5">
        <v>1.7804</v>
      </c>
      <c r="L78" s="5">
        <v>1.7747999999999999</v>
      </c>
      <c r="M78" s="23">
        <v>1.7693000000000001</v>
      </c>
      <c r="N78" s="5">
        <v>1.7639</v>
      </c>
      <c r="O78" s="5">
        <v>1.7585</v>
      </c>
      <c r="P78" s="5">
        <v>1.7479</v>
      </c>
      <c r="Q78" s="5">
        <v>1.7375</v>
      </c>
      <c r="R78" s="5">
        <v>1.7274</v>
      </c>
      <c r="S78" s="5">
        <v>1.7072000000000001</v>
      </c>
      <c r="T78" s="12">
        <v>1.6878</v>
      </c>
      <c r="W78" s="77">
        <v>98</v>
      </c>
      <c r="X78" s="78">
        <v>1.8440000000000001</v>
      </c>
      <c r="AL78" s="127"/>
      <c r="AM78" s="30"/>
      <c r="AN78" s="30"/>
      <c r="AO78" s="30"/>
      <c r="AP78" s="130"/>
    </row>
    <row r="79" spans="9:42" ht="15.75" thickBot="1" x14ac:dyDescent="0.3">
      <c r="I79" s="11">
        <v>86</v>
      </c>
      <c r="J79" s="5">
        <v>1.8095000000000001</v>
      </c>
      <c r="K79" s="5">
        <v>1.7983</v>
      </c>
      <c r="L79" s="5">
        <v>1.7927</v>
      </c>
      <c r="M79" s="23">
        <v>1.7871999999999999</v>
      </c>
      <c r="N79" s="5">
        <v>1.7818000000000001</v>
      </c>
      <c r="O79" s="5">
        <v>1.7763</v>
      </c>
      <c r="P79" s="5">
        <v>1.7657</v>
      </c>
      <c r="Q79" s="5">
        <v>1.7552000000000001</v>
      </c>
      <c r="R79" s="5">
        <v>1.7448999999999999</v>
      </c>
      <c r="S79" s="5">
        <v>1.7244999999999999</v>
      </c>
      <c r="T79" s="12">
        <v>1.7050000000000001</v>
      </c>
      <c r="W79" s="79">
        <v>100</v>
      </c>
      <c r="X79" s="80">
        <v>1.87</v>
      </c>
      <c r="AL79" s="127" t="s">
        <v>317</v>
      </c>
      <c r="AM79" s="30" t="s">
        <v>318</v>
      </c>
      <c r="AN79" s="30" t="s">
        <v>317</v>
      </c>
      <c r="AO79" s="30"/>
      <c r="AP79" s="130"/>
    </row>
    <row r="80" spans="9:42" x14ac:dyDescent="0.25">
      <c r="I80" s="11">
        <v>88</v>
      </c>
      <c r="J80" s="5">
        <v>1.8243</v>
      </c>
      <c r="K80" s="5">
        <v>1.8131999999999999</v>
      </c>
      <c r="L80" s="5">
        <v>1.8077000000000001</v>
      </c>
      <c r="M80" s="23">
        <v>1.8022</v>
      </c>
      <c r="N80" s="5">
        <v>1.7968</v>
      </c>
      <c r="O80" s="5">
        <v>1.7914000000000001</v>
      </c>
      <c r="P80" s="5">
        <v>1.7808999999999999</v>
      </c>
      <c r="Q80" s="5">
        <v>1.7705</v>
      </c>
      <c r="R80" s="5">
        <v>1.7602</v>
      </c>
      <c r="S80" s="5">
        <v>1.7397</v>
      </c>
      <c r="T80" s="12">
        <v>1.7202</v>
      </c>
      <c r="AL80" s="127"/>
      <c r="AM80" s="131">
        <f>AM77+1</f>
        <v>1.3510929911874265</v>
      </c>
      <c r="AN80" s="30">
        <v>20</v>
      </c>
      <c r="AO80" s="404">
        <v>5</v>
      </c>
      <c r="AP80" s="130"/>
    </row>
    <row r="81" spans="9:42" x14ac:dyDescent="0.25">
      <c r="I81" s="11">
        <v>90</v>
      </c>
      <c r="J81" s="5">
        <v>1.8361000000000001</v>
      </c>
      <c r="K81" s="5">
        <v>1.8251999999999999</v>
      </c>
      <c r="L81" s="5">
        <v>1.8198000000000001</v>
      </c>
      <c r="M81" s="23">
        <v>1.8144</v>
      </c>
      <c r="N81" s="5">
        <v>1.8090999999999999</v>
      </c>
      <c r="O81" s="5">
        <v>1.8038000000000001</v>
      </c>
      <c r="P81" s="5">
        <v>1.7932999999999999</v>
      </c>
      <c r="Q81" s="5">
        <v>1.7828999999999999</v>
      </c>
      <c r="R81" s="5">
        <v>1.7728999999999999</v>
      </c>
      <c r="S81" s="5">
        <v>1.7524999999999999</v>
      </c>
      <c r="T81" s="12">
        <v>1.7331000000000001</v>
      </c>
      <c r="AL81" s="133">
        <f>AM80-1</f>
        <v>0.35109299118742654</v>
      </c>
      <c r="AM81" s="128">
        <v>0</v>
      </c>
      <c r="AN81" s="30">
        <v>20</v>
      </c>
      <c r="AO81" s="404">
        <v>5.0999999999999996</v>
      </c>
      <c r="AP81" s="135"/>
    </row>
    <row r="82" spans="9:42" x14ac:dyDescent="0.25">
      <c r="I82" s="11">
        <v>91</v>
      </c>
      <c r="J82" s="5">
        <v>1.841</v>
      </c>
      <c r="K82" s="5">
        <v>1.8302</v>
      </c>
      <c r="L82" s="5">
        <v>1.8248</v>
      </c>
      <c r="M82" s="23">
        <v>1.8194999999999999</v>
      </c>
      <c r="N82" s="5">
        <v>1.8142</v>
      </c>
      <c r="O82" s="5">
        <v>1.8089999999999999</v>
      </c>
      <c r="P82" s="5">
        <v>1.7986</v>
      </c>
      <c r="Q82" s="5">
        <v>1.7883</v>
      </c>
      <c r="R82" s="5">
        <v>1.7783</v>
      </c>
      <c r="S82" s="5">
        <v>1.7581</v>
      </c>
      <c r="T82" s="12">
        <v>1.7387999999999999</v>
      </c>
      <c r="AL82" s="127"/>
      <c r="AM82" s="128">
        <f>AM83-AM80</f>
        <v>0.64890700881257346</v>
      </c>
      <c r="AN82" s="30">
        <v>20</v>
      </c>
      <c r="AO82" s="404">
        <v>5.2</v>
      </c>
      <c r="AP82" s="135"/>
    </row>
    <row r="83" spans="9:42" x14ac:dyDescent="0.25">
      <c r="I83" s="11">
        <v>92</v>
      </c>
      <c r="J83" s="5">
        <v>1.8452999999999999</v>
      </c>
      <c r="K83" s="5">
        <v>1.8346</v>
      </c>
      <c r="L83" s="5">
        <v>1.8292999999999999</v>
      </c>
      <c r="M83" s="23">
        <v>1.8240000000000001</v>
      </c>
      <c r="N83" s="5">
        <v>1.8188</v>
      </c>
      <c r="O83" s="5">
        <v>1.8136000000000001</v>
      </c>
      <c r="P83" s="5">
        <v>1.8032999999999999</v>
      </c>
      <c r="Q83" s="5">
        <v>1.7931999999999999</v>
      </c>
      <c r="R83" s="5">
        <v>1.7831999999999999</v>
      </c>
      <c r="S83" s="5">
        <v>1.7633000000000001</v>
      </c>
      <c r="T83" s="12">
        <v>1.7439</v>
      </c>
      <c r="AL83" s="127"/>
      <c r="AM83" s="128">
        <v>2</v>
      </c>
      <c r="AN83" s="30">
        <v>20</v>
      </c>
      <c r="AO83" s="404">
        <v>5.3</v>
      </c>
      <c r="AP83" s="135"/>
    </row>
    <row r="84" spans="9:42" x14ac:dyDescent="0.25">
      <c r="I84" s="11">
        <v>93</v>
      </c>
      <c r="J84" s="5">
        <v>1.849</v>
      </c>
      <c r="K84" s="5">
        <v>1.8384</v>
      </c>
      <c r="L84" s="5">
        <v>1.8331</v>
      </c>
      <c r="M84" s="23">
        <v>1.8279000000000001</v>
      </c>
      <c r="N84" s="5">
        <v>1.8227</v>
      </c>
      <c r="O84" s="5">
        <v>1.8176000000000001</v>
      </c>
      <c r="P84" s="5">
        <v>1.8073999999999999</v>
      </c>
      <c r="Q84" s="5">
        <v>1.7974000000000001</v>
      </c>
      <c r="R84" s="5">
        <v>1.7876000000000001</v>
      </c>
      <c r="S84" s="5">
        <v>1.7681</v>
      </c>
      <c r="T84" s="12">
        <v>1.7484999999999999</v>
      </c>
      <c r="AL84" s="127"/>
      <c r="AM84" s="30"/>
      <c r="AN84" s="30">
        <v>20</v>
      </c>
      <c r="AO84" s="404">
        <v>5.4</v>
      </c>
      <c r="AP84" s="135"/>
    </row>
    <row r="85" spans="9:42" x14ac:dyDescent="0.25">
      <c r="I85" s="11">
        <v>94</v>
      </c>
      <c r="J85" s="5">
        <v>1.8520000000000001</v>
      </c>
      <c r="K85" s="5">
        <v>1.8414999999999999</v>
      </c>
      <c r="L85" s="5">
        <v>1.8363</v>
      </c>
      <c r="M85" s="23">
        <v>1.8311999999999999</v>
      </c>
      <c r="N85" s="5">
        <v>1.8260000000000001</v>
      </c>
      <c r="O85" s="5">
        <v>1.821</v>
      </c>
      <c r="P85" s="5">
        <v>1.8109</v>
      </c>
      <c r="Q85" s="5">
        <v>1.8010999999999999</v>
      </c>
      <c r="R85" s="5">
        <v>1.7914000000000001</v>
      </c>
      <c r="S85" s="5"/>
      <c r="T85" s="12"/>
      <c r="AL85" s="127"/>
      <c r="AM85" s="30"/>
      <c r="AN85" s="30">
        <v>20</v>
      </c>
      <c r="AO85" s="404">
        <v>5.5</v>
      </c>
      <c r="AP85" s="135"/>
    </row>
    <row r="86" spans="9:42" x14ac:dyDescent="0.25">
      <c r="I86" s="11">
        <v>95</v>
      </c>
      <c r="J86" s="5">
        <v>1.8544</v>
      </c>
      <c r="K86" s="5">
        <v>1.8439000000000001</v>
      </c>
      <c r="L86" s="5">
        <v>1.8388</v>
      </c>
      <c r="M86" s="23">
        <v>1.8337000000000001</v>
      </c>
      <c r="N86" s="5">
        <v>1.8286</v>
      </c>
      <c r="O86" s="5">
        <v>1.8236000000000001</v>
      </c>
      <c r="P86" s="5">
        <v>1.8137000000000001</v>
      </c>
      <c r="Q86" s="5">
        <v>1.804</v>
      </c>
      <c r="R86" s="5">
        <v>1.7944</v>
      </c>
      <c r="S86" s="5"/>
      <c r="T86" s="12"/>
      <c r="AL86" s="127"/>
      <c r="AM86" s="30"/>
      <c r="AN86" s="30">
        <v>20</v>
      </c>
      <c r="AO86" s="404">
        <v>5.6</v>
      </c>
      <c r="AP86" s="135"/>
    </row>
    <row r="87" spans="9:42" x14ac:dyDescent="0.25">
      <c r="I87" s="11">
        <v>96</v>
      </c>
      <c r="J87" s="5">
        <v>1.8560000000000001</v>
      </c>
      <c r="K87" s="5">
        <v>1.8456999999999999</v>
      </c>
      <c r="L87" s="5">
        <v>1.8406</v>
      </c>
      <c r="M87" s="23">
        <v>1.8354999999999999</v>
      </c>
      <c r="N87" s="5">
        <v>1.8305</v>
      </c>
      <c r="O87" s="5">
        <v>1.8254999999999999</v>
      </c>
      <c r="P87" s="5">
        <v>1.8157000000000001</v>
      </c>
      <c r="Q87" s="5">
        <v>1.806</v>
      </c>
      <c r="R87" s="5">
        <v>1.7965</v>
      </c>
      <c r="S87" s="5"/>
      <c r="T87" s="12"/>
      <c r="AL87" s="127"/>
      <c r="AM87" s="30"/>
      <c r="AN87" s="30">
        <v>20</v>
      </c>
      <c r="AO87" s="404">
        <v>5.7</v>
      </c>
      <c r="AP87" s="135"/>
    </row>
    <row r="88" spans="9:42" x14ac:dyDescent="0.25">
      <c r="I88" s="11">
        <v>97</v>
      </c>
      <c r="J88" s="5">
        <v>1.8569</v>
      </c>
      <c r="K88" s="5">
        <v>1.8466</v>
      </c>
      <c r="L88" s="5">
        <v>1.8413999999999999</v>
      </c>
      <c r="M88" s="23">
        <v>1.8364</v>
      </c>
      <c r="N88" s="5">
        <v>1.8313999999999999</v>
      </c>
      <c r="O88" s="5">
        <v>1.8264</v>
      </c>
      <c r="P88" s="5">
        <v>1.8166</v>
      </c>
      <c r="Q88" s="5">
        <v>1.8070999999999999</v>
      </c>
      <c r="R88" s="5">
        <v>1.7977000000000001</v>
      </c>
      <c r="S88" s="5"/>
      <c r="T88" s="12"/>
      <c r="AL88" s="127"/>
      <c r="AM88" s="30"/>
      <c r="AN88" s="30">
        <v>20</v>
      </c>
      <c r="AO88" s="404">
        <v>5.8</v>
      </c>
      <c r="AP88" s="135"/>
    </row>
    <row r="89" spans="9:42" x14ac:dyDescent="0.25">
      <c r="I89" s="11">
        <v>98</v>
      </c>
      <c r="J89" s="5">
        <v>1.8567</v>
      </c>
      <c r="K89" s="5">
        <v>1.8463000000000001</v>
      </c>
      <c r="L89" s="5">
        <v>1.8411</v>
      </c>
      <c r="M89" s="23">
        <v>1.8361000000000001</v>
      </c>
      <c r="N89" s="5">
        <v>1.831</v>
      </c>
      <c r="O89" s="5">
        <v>1.8261000000000001</v>
      </c>
      <c r="P89" s="5">
        <v>1.8163</v>
      </c>
      <c r="Q89" s="5">
        <v>1.8068</v>
      </c>
      <c r="R89" s="5">
        <v>1.7976000000000001</v>
      </c>
      <c r="S89" s="5"/>
      <c r="T89" s="12"/>
      <c r="AL89" s="127"/>
      <c r="AM89" s="30"/>
      <c r="AN89" s="30">
        <v>20</v>
      </c>
      <c r="AO89" s="404">
        <v>5.9</v>
      </c>
      <c r="AP89" s="135"/>
    </row>
    <row r="90" spans="9:42" x14ac:dyDescent="0.25">
      <c r="I90" s="11">
        <v>99</v>
      </c>
      <c r="J90" s="5">
        <v>1.8551</v>
      </c>
      <c r="K90" s="5">
        <v>1.8445</v>
      </c>
      <c r="L90" s="5">
        <v>1.8392999999999999</v>
      </c>
      <c r="M90" s="23">
        <v>1.8342000000000001</v>
      </c>
      <c r="N90" s="5">
        <v>1.8291999999999999</v>
      </c>
      <c r="O90" s="5">
        <v>1.8242</v>
      </c>
      <c r="P90" s="5">
        <v>1.8145</v>
      </c>
      <c r="Q90" s="5">
        <v>1.8049999999999999</v>
      </c>
      <c r="R90" s="5">
        <v>1.7958000000000001</v>
      </c>
      <c r="S90" s="5"/>
      <c r="T90" s="12"/>
      <c r="AL90" s="127"/>
      <c r="AM90" s="30"/>
      <c r="AN90" s="30">
        <v>20</v>
      </c>
      <c r="AO90" s="404">
        <v>6</v>
      </c>
      <c r="AP90" s="135"/>
    </row>
    <row r="91" spans="9:42" ht="15.75" thickBot="1" x14ac:dyDescent="0.3">
      <c r="I91" s="13">
        <v>100</v>
      </c>
      <c r="J91" s="14">
        <v>1.8516999999999999</v>
      </c>
      <c r="K91" s="14">
        <v>1.8409</v>
      </c>
      <c r="L91" s="14">
        <v>1.8357000000000001</v>
      </c>
      <c r="M91" s="24">
        <v>1.8305</v>
      </c>
      <c r="N91" s="14">
        <v>1.8254999999999999</v>
      </c>
      <c r="O91" s="14">
        <v>1.8205</v>
      </c>
      <c r="P91" s="14">
        <v>1.8107</v>
      </c>
      <c r="Q91" s="14">
        <v>1.8012999999999999</v>
      </c>
      <c r="R91" s="14">
        <v>1.7922</v>
      </c>
      <c r="S91" s="14"/>
      <c r="T91" s="15"/>
      <c r="AL91" s="137"/>
      <c r="AM91" s="138"/>
      <c r="AN91" s="138">
        <v>220</v>
      </c>
      <c r="AO91" s="138"/>
      <c r="AP91" s="139"/>
    </row>
  </sheetData>
  <hyperlinks>
    <hyperlink ref="I5" r:id="rId1"/>
    <hyperlink ref="I6" r:id="rId2"/>
  </hyperlinks>
  <pageMargins left="0.7" right="0.7" top="0.78740157499999996" bottom="0.78740157499999996" header="0.3" footer="0.3"/>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Wasserversorger &amp; Aufbereitung</vt:lpstr>
      <vt:lpstr>Zielmengenrechner</vt:lpstr>
      <vt:lpstr>pH-Wert Maische</vt:lpstr>
      <vt:lpstr>Beispiel</vt:lpstr>
      <vt:lpstr>Infos &amp; Hilfseinträge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cweinhold@web.de</dc:creator>
  <cp:lastModifiedBy>Carsten Weinhold</cp:lastModifiedBy>
  <dcterms:created xsi:type="dcterms:W3CDTF">2023-09-08T06:09:14Z</dcterms:created>
  <dcterms:modified xsi:type="dcterms:W3CDTF">2023-10-10T18:06:21Z</dcterms:modified>
</cp:coreProperties>
</file>